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『岩倉市日本語・ポルトガル語適応指導教室』\●　ステップ・ユニット・モジュール\"/>
    </mc:Choice>
  </mc:AlternateContent>
  <bookViews>
    <workbookView xWindow="240" yWindow="75" windowWidth="14895" windowHeight="9405" activeTab="2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52511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65" i="30" s="1"/>
  <c r="U49" i="30"/>
  <c r="U48" i="30"/>
  <c r="U47" i="30"/>
  <c r="U46" i="30"/>
  <c r="U45" i="30"/>
  <c r="U52" i="30" s="1"/>
  <c r="U43" i="30"/>
  <c r="U42" i="30"/>
  <c r="U41" i="30"/>
  <c r="U40" i="30"/>
  <c r="U39" i="30"/>
  <c r="U44" i="30" s="1"/>
  <c r="U37" i="30"/>
  <c r="U36" i="30"/>
  <c r="U35" i="30"/>
  <c r="U34" i="30"/>
  <c r="U33" i="30"/>
  <c r="U38" i="30" s="1"/>
  <c r="U30" i="30"/>
  <c r="U29" i="30"/>
  <c r="U28" i="30"/>
  <c r="U27" i="30"/>
  <c r="U26" i="30"/>
  <c r="U25" i="30"/>
  <c r="U24" i="30"/>
  <c r="U31" i="30" s="1"/>
  <c r="U22" i="30"/>
  <c r="U21" i="30"/>
  <c r="U20" i="30"/>
  <c r="Z19" i="30"/>
  <c r="U19" i="30"/>
  <c r="U23" i="30" s="1"/>
  <c r="U32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U17" i="30" s="1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U3" i="30"/>
  <c r="U10" i="30" s="1"/>
  <c r="U18" i="30" s="1"/>
  <c r="Z2" i="30"/>
  <c r="Z14" i="30" s="1"/>
  <c r="U2" i="30"/>
  <c r="U64" i="29"/>
  <c r="U63" i="29"/>
  <c r="U62" i="29"/>
  <c r="U61" i="29"/>
  <c r="U60" i="29"/>
  <c r="U59" i="29"/>
  <c r="U58" i="29"/>
  <c r="U57" i="29"/>
  <c r="U56" i="29"/>
  <c r="U55" i="29"/>
  <c r="U54" i="29"/>
  <c r="U53" i="29"/>
  <c r="U65" i="29" s="1"/>
  <c r="U49" i="29"/>
  <c r="U48" i="29"/>
  <c r="U47" i="29"/>
  <c r="U46" i="29"/>
  <c r="U45" i="29"/>
  <c r="U52" i="29" s="1"/>
  <c r="U43" i="29"/>
  <c r="U42" i="29"/>
  <c r="U41" i="29"/>
  <c r="U40" i="29"/>
  <c r="U39" i="29"/>
  <c r="U44" i="29" s="1"/>
  <c r="U37" i="29"/>
  <c r="U36" i="29"/>
  <c r="U35" i="29"/>
  <c r="U34" i="29"/>
  <c r="U33" i="29"/>
  <c r="U38" i="29" s="1"/>
  <c r="U30" i="29"/>
  <c r="U29" i="29"/>
  <c r="U28" i="29"/>
  <c r="U27" i="29"/>
  <c r="U31" i="29" s="1"/>
  <c r="U26" i="29"/>
  <c r="U25" i="29"/>
  <c r="U24" i="29"/>
  <c r="U23" i="29"/>
  <c r="U32" i="29" s="1"/>
  <c r="U22" i="29"/>
  <c r="U21" i="29"/>
  <c r="U20" i="29"/>
  <c r="Z19" i="29"/>
  <c r="U19" i="29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U17" i="29" s="1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Z14" i="29" s="1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Z2" i="29"/>
  <c r="U2" i="29"/>
  <c r="U10" i="29" s="1"/>
  <c r="U18" i="29" s="1"/>
  <c r="U64" i="28"/>
  <c r="U63" i="28"/>
  <c r="U62" i="28"/>
  <c r="U61" i="28"/>
  <c r="U60" i="28"/>
  <c r="U59" i="28"/>
  <c r="U58" i="28"/>
  <c r="U57" i="28"/>
  <c r="U56" i="28"/>
  <c r="U55" i="28"/>
  <c r="U54" i="28"/>
  <c r="U53" i="28"/>
  <c r="U65" i="28" s="1"/>
  <c r="U49" i="28"/>
  <c r="U48" i="28"/>
  <c r="U47" i="28"/>
  <c r="U46" i="28"/>
  <c r="U45" i="28"/>
  <c r="U52" i="28" s="1"/>
  <c r="U43" i="28"/>
  <c r="U42" i="28"/>
  <c r="U41" i="28"/>
  <c r="U40" i="28"/>
  <c r="U39" i="28"/>
  <c r="U44" i="28" s="1"/>
  <c r="U37" i="28"/>
  <c r="U36" i="28"/>
  <c r="U35" i="28"/>
  <c r="U34" i="28"/>
  <c r="U33" i="28"/>
  <c r="U38" i="28" s="1"/>
  <c r="U30" i="28"/>
  <c r="U29" i="28"/>
  <c r="U28" i="28"/>
  <c r="U27" i="28"/>
  <c r="U26" i="28"/>
  <c r="U25" i="28"/>
  <c r="U31" i="28" s="1"/>
  <c r="U24" i="28"/>
  <c r="U22" i="28"/>
  <c r="U21" i="28"/>
  <c r="U20" i="28"/>
  <c r="Z19" i="28"/>
  <c r="U19" i="28"/>
  <c r="U23" i="28" s="1"/>
  <c r="U32" i="28" s="1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U17" i="28" s="1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Z14" i="28" s="1"/>
  <c r="U3" i="28"/>
  <c r="U10" i="28" s="1"/>
  <c r="U18" i="28" s="1"/>
  <c r="Z2" i="28"/>
  <c r="U2" i="28"/>
  <c r="U64" i="27"/>
  <c r="U63" i="27"/>
  <c r="U62" i="27"/>
  <c r="U61" i="27"/>
  <c r="U60" i="27"/>
  <c r="U59" i="27"/>
  <c r="U58" i="27"/>
  <c r="U57" i="27"/>
  <c r="U56" i="27"/>
  <c r="U55" i="27"/>
  <c r="U54" i="27"/>
  <c r="U53" i="27"/>
  <c r="U65" i="27" s="1"/>
  <c r="U49" i="27"/>
  <c r="U48" i="27"/>
  <c r="U47" i="27"/>
  <c r="U46" i="27"/>
  <c r="U45" i="27"/>
  <c r="U52" i="27" s="1"/>
  <c r="U43" i="27"/>
  <c r="U42" i="27"/>
  <c r="U41" i="27"/>
  <c r="U40" i="27"/>
  <c r="U39" i="27"/>
  <c r="U44" i="27" s="1"/>
  <c r="U37" i="27"/>
  <c r="U36" i="27"/>
  <c r="U35" i="27"/>
  <c r="U34" i="27"/>
  <c r="U33" i="27"/>
  <c r="U38" i="27" s="1"/>
  <c r="U30" i="27"/>
  <c r="U29" i="27"/>
  <c r="U28" i="27"/>
  <c r="U27" i="27"/>
  <c r="U31" i="27" s="1"/>
  <c r="U26" i="27"/>
  <c r="U25" i="27"/>
  <c r="U24" i="27"/>
  <c r="U23" i="27"/>
  <c r="U32" i="27" s="1"/>
  <c r="U22" i="27"/>
  <c r="U21" i="27"/>
  <c r="U20" i="27"/>
  <c r="Z19" i="27"/>
  <c r="U19" i="27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U17" i="27" s="1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Z14" i="27" s="1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U3" i="27"/>
  <c r="Z2" i="27"/>
  <c r="U2" i="27"/>
  <c r="U10" i="27" s="1"/>
  <c r="U64" i="26"/>
  <c r="U63" i="26"/>
  <c r="U62" i="26"/>
  <c r="U61" i="26"/>
  <c r="U60" i="26"/>
  <c r="U59" i="26"/>
  <c r="U58" i="26"/>
  <c r="U57" i="26"/>
  <c r="U56" i="26"/>
  <c r="U55" i="26"/>
  <c r="U54" i="26"/>
  <c r="U53" i="26"/>
  <c r="U65" i="26" s="1"/>
  <c r="U49" i="26"/>
  <c r="U48" i="26"/>
  <c r="U47" i="26"/>
  <c r="U46" i="26"/>
  <c r="U45" i="26"/>
  <c r="U52" i="26" s="1"/>
  <c r="U43" i="26"/>
  <c r="U42" i="26"/>
  <c r="U41" i="26"/>
  <c r="U40" i="26"/>
  <c r="U39" i="26"/>
  <c r="U44" i="26" s="1"/>
  <c r="U37" i="26"/>
  <c r="U36" i="26"/>
  <c r="U35" i="26"/>
  <c r="U34" i="26"/>
  <c r="U33" i="26"/>
  <c r="U38" i="26" s="1"/>
  <c r="U30" i="26"/>
  <c r="U29" i="26"/>
  <c r="U28" i="26"/>
  <c r="U27" i="26"/>
  <c r="U26" i="26"/>
  <c r="U25" i="26"/>
  <c r="U31" i="26" s="1"/>
  <c r="U24" i="26"/>
  <c r="U22" i="26"/>
  <c r="U21" i="26"/>
  <c r="U23" i="26" s="1"/>
  <c r="U20" i="26"/>
  <c r="Z19" i="26"/>
  <c r="U19" i="26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U17" i="26" s="1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Z14" i="26" s="1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U3" i="26"/>
  <c r="U10" i="26" s="1"/>
  <c r="Z2" i="26"/>
  <c r="U2" i="26"/>
  <c r="U64" i="25"/>
  <c r="U63" i="25"/>
  <c r="U62" i="25"/>
  <c r="U61" i="25"/>
  <c r="U60" i="25"/>
  <c r="U59" i="25"/>
  <c r="U58" i="25"/>
  <c r="U57" i="25"/>
  <c r="U56" i="25"/>
  <c r="U55" i="25"/>
  <c r="U54" i="25"/>
  <c r="U53" i="25"/>
  <c r="U65" i="25" s="1"/>
  <c r="U49" i="25"/>
  <c r="U48" i="25"/>
  <c r="U47" i="25"/>
  <c r="U46" i="25"/>
  <c r="U45" i="25"/>
  <c r="U52" i="25" s="1"/>
  <c r="U43" i="25"/>
  <c r="U42" i="25"/>
  <c r="U41" i="25"/>
  <c r="U40" i="25"/>
  <c r="U39" i="25"/>
  <c r="U44" i="25" s="1"/>
  <c r="U37" i="25"/>
  <c r="U36" i="25"/>
  <c r="U35" i="25"/>
  <c r="U34" i="25"/>
  <c r="U33" i="25"/>
  <c r="U38" i="25" s="1"/>
  <c r="U30" i="25"/>
  <c r="U29" i="25"/>
  <c r="U28" i="25"/>
  <c r="U27" i="25"/>
  <c r="U31" i="25" s="1"/>
  <c r="U26" i="25"/>
  <c r="U25" i="25"/>
  <c r="U24" i="25"/>
  <c r="U23" i="25"/>
  <c r="U32" i="25" s="1"/>
  <c r="U22" i="25"/>
  <c r="U21" i="25"/>
  <c r="U20" i="25"/>
  <c r="Z19" i="25"/>
  <c r="U19" i="25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U17" i="25" s="1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Z14" i="25" s="1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U3" i="25"/>
  <c r="Z2" i="25"/>
  <c r="U2" i="25"/>
  <c r="U10" i="25" s="1"/>
  <c r="U18" i="25" s="1"/>
  <c r="U67" i="25" s="1"/>
  <c r="U64" i="24"/>
  <c r="U63" i="24"/>
  <c r="U62" i="24"/>
  <c r="U61" i="24"/>
  <c r="U60" i="24"/>
  <c r="U59" i="24"/>
  <c r="U58" i="24"/>
  <c r="U57" i="24"/>
  <c r="U56" i="24"/>
  <c r="U55" i="24"/>
  <c r="U54" i="24"/>
  <c r="U53" i="24"/>
  <c r="U65" i="24" s="1"/>
  <c r="U49" i="24"/>
  <c r="U48" i="24"/>
  <c r="U47" i="24"/>
  <c r="U46" i="24"/>
  <c r="U45" i="24"/>
  <c r="U52" i="24" s="1"/>
  <c r="U43" i="24"/>
  <c r="U42" i="24"/>
  <c r="U41" i="24"/>
  <c r="U40" i="24"/>
  <c r="U39" i="24"/>
  <c r="U44" i="24" s="1"/>
  <c r="U37" i="24"/>
  <c r="U36" i="24"/>
  <c r="U35" i="24"/>
  <c r="U34" i="24"/>
  <c r="U33" i="24"/>
  <c r="U38" i="24" s="1"/>
  <c r="U30" i="24"/>
  <c r="U29" i="24"/>
  <c r="U28" i="24"/>
  <c r="U27" i="24"/>
  <c r="U26" i="24"/>
  <c r="U25" i="24"/>
  <c r="U31" i="24" s="1"/>
  <c r="U24" i="24"/>
  <c r="U22" i="24"/>
  <c r="U21" i="24"/>
  <c r="U23" i="24" s="1"/>
  <c r="U32" i="24" s="1"/>
  <c r="U20" i="24"/>
  <c r="Z19" i="24"/>
  <c r="U19" i="24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U17" i="24" s="1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Z14" i="24" s="1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U10" i="24" s="1"/>
  <c r="U18" i="24" s="1"/>
  <c r="U67" i="24" s="1"/>
  <c r="Z2" i="24"/>
  <c r="U2" i="24"/>
  <c r="U64" i="23"/>
  <c r="U63" i="23"/>
  <c r="U62" i="23"/>
  <c r="U61" i="23"/>
  <c r="U60" i="23"/>
  <c r="U59" i="23"/>
  <c r="U58" i="23"/>
  <c r="U57" i="23"/>
  <c r="U56" i="23"/>
  <c r="U55" i="23"/>
  <c r="U54" i="23"/>
  <c r="U53" i="23"/>
  <c r="U65" i="23" s="1"/>
  <c r="U49" i="23"/>
  <c r="U48" i="23"/>
  <c r="U47" i="23"/>
  <c r="U46" i="23"/>
  <c r="U45" i="23"/>
  <c r="U52" i="23" s="1"/>
  <c r="U43" i="23"/>
  <c r="U42" i="23"/>
  <c r="U41" i="23"/>
  <c r="U40" i="23"/>
  <c r="U39" i="23"/>
  <c r="U44" i="23" s="1"/>
  <c r="U37" i="23"/>
  <c r="U36" i="23"/>
  <c r="U35" i="23"/>
  <c r="U34" i="23"/>
  <c r="U33" i="23"/>
  <c r="U38" i="23" s="1"/>
  <c r="U30" i="23"/>
  <c r="U29" i="23"/>
  <c r="U28" i="23"/>
  <c r="U27" i="23"/>
  <c r="U31" i="23" s="1"/>
  <c r="U26" i="23"/>
  <c r="U25" i="23"/>
  <c r="U24" i="23"/>
  <c r="U23" i="23"/>
  <c r="U32" i="23" s="1"/>
  <c r="U22" i="23"/>
  <c r="U21" i="23"/>
  <c r="U20" i="23"/>
  <c r="Z19" i="23"/>
  <c r="U19" i="23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U17" i="23" s="1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Z14" i="23" s="1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U3" i="23"/>
  <c r="Z2" i="23"/>
  <c r="U2" i="23"/>
  <c r="U10" i="23" s="1"/>
  <c r="U64" i="22"/>
  <c r="U63" i="22"/>
  <c r="U62" i="22"/>
  <c r="U61" i="22"/>
  <c r="U60" i="22"/>
  <c r="U59" i="22"/>
  <c r="U58" i="22"/>
  <c r="U57" i="22"/>
  <c r="U56" i="22"/>
  <c r="U55" i="22"/>
  <c r="U54" i="22"/>
  <c r="U53" i="22"/>
  <c r="U65" i="22" s="1"/>
  <c r="U49" i="22"/>
  <c r="U48" i="22"/>
  <c r="U47" i="22"/>
  <c r="U46" i="22"/>
  <c r="U45" i="22"/>
  <c r="U52" i="22" s="1"/>
  <c r="U43" i="22"/>
  <c r="U42" i="22"/>
  <c r="U41" i="22"/>
  <c r="U40" i="22"/>
  <c r="U39" i="22"/>
  <c r="U44" i="22" s="1"/>
  <c r="U37" i="22"/>
  <c r="U36" i="22"/>
  <c r="U35" i="22"/>
  <c r="U34" i="22"/>
  <c r="U33" i="22"/>
  <c r="U38" i="22" s="1"/>
  <c r="U30" i="22"/>
  <c r="U29" i="22"/>
  <c r="U28" i="22"/>
  <c r="U27" i="22"/>
  <c r="U26" i="22"/>
  <c r="U25" i="22"/>
  <c r="U31" i="22" s="1"/>
  <c r="U24" i="22"/>
  <c r="U22" i="22"/>
  <c r="U21" i="22"/>
  <c r="U23" i="22" s="1"/>
  <c r="U20" i="22"/>
  <c r="Z19" i="22"/>
  <c r="U19" i="22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U17" i="22" s="1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Z14" i="22" s="1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U10" i="22" s="1"/>
  <c r="Z2" i="22"/>
  <c r="U2" i="22"/>
  <c r="U64" i="21"/>
  <c r="U63" i="21"/>
  <c r="U62" i="21"/>
  <c r="U61" i="21"/>
  <c r="U60" i="21"/>
  <c r="U59" i="21"/>
  <c r="U58" i="21"/>
  <c r="U57" i="21"/>
  <c r="U56" i="21"/>
  <c r="U55" i="21"/>
  <c r="U54" i="21"/>
  <c r="U53" i="21"/>
  <c r="U65" i="21" s="1"/>
  <c r="U49" i="21"/>
  <c r="U48" i="21"/>
  <c r="U47" i="21"/>
  <c r="U46" i="21"/>
  <c r="U45" i="21"/>
  <c r="U52" i="21" s="1"/>
  <c r="U43" i="21"/>
  <c r="U42" i="21"/>
  <c r="U41" i="21"/>
  <c r="U40" i="21"/>
  <c r="U39" i="21"/>
  <c r="U44" i="21" s="1"/>
  <c r="U37" i="21"/>
  <c r="U36" i="21"/>
  <c r="U35" i="21"/>
  <c r="U34" i="21"/>
  <c r="U33" i="21"/>
  <c r="U38" i="21" s="1"/>
  <c r="U30" i="21"/>
  <c r="U29" i="21"/>
  <c r="U28" i="21"/>
  <c r="U27" i="21"/>
  <c r="U31" i="21" s="1"/>
  <c r="U26" i="21"/>
  <c r="U25" i="21"/>
  <c r="U24" i="21"/>
  <c r="U23" i="21"/>
  <c r="U32" i="21" s="1"/>
  <c r="U22" i="21"/>
  <c r="U21" i="21"/>
  <c r="U20" i="21"/>
  <c r="Z19" i="21"/>
  <c r="U19" i="2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U17" i="21" s="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Z14" i="21" s="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U3" i="21"/>
  <c r="Z2" i="21"/>
  <c r="U2" i="21"/>
  <c r="U10" i="21" s="1"/>
  <c r="U18" i="21" s="1"/>
  <c r="U64" i="20"/>
  <c r="U63" i="20"/>
  <c r="U62" i="20"/>
  <c r="U61" i="20"/>
  <c r="U60" i="20"/>
  <c r="U59" i="20"/>
  <c r="U58" i="20"/>
  <c r="U57" i="20"/>
  <c r="U56" i="20"/>
  <c r="U55" i="20"/>
  <c r="U54" i="20"/>
  <c r="U53" i="20"/>
  <c r="U65" i="20" s="1"/>
  <c r="U49" i="20"/>
  <c r="U48" i="20"/>
  <c r="U47" i="20"/>
  <c r="U46" i="20"/>
  <c r="U45" i="20"/>
  <c r="U52" i="20" s="1"/>
  <c r="U43" i="20"/>
  <c r="U42" i="20"/>
  <c r="U41" i="20"/>
  <c r="U40" i="20"/>
  <c r="U39" i="20"/>
  <c r="U44" i="20" s="1"/>
  <c r="U37" i="20"/>
  <c r="U36" i="20"/>
  <c r="U35" i="20"/>
  <c r="U34" i="20"/>
  <c r="U33" i="20"/>
  <c r="U38" i="20" s="1"/>
  <c r="U30" i="20"/>
  <c r="U29" i="20"/>
  <c r="U28" i="20"/>
  <c r="U27" i="20"/>
  <c r="U26" i="20"/>
  <c r="U25" i="20"/>
  <c r="U31" i="20" s="1"/>
  <c r="U24" i="20"/>
  <c r="U22" i="20"/>
  <c r="U21" i="20"/>
  <c r="U23" i="20" s="1"/>
  <c r="U32" i="20" s="1"/>
  <c r="U20" i="20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U17" i="20" s="1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Z14" i="20" s="1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U10" i="20" s="1"/>
  <c r="U18" i="20" s="1"/>
  <c r="Z2" i="20"/>
  <c r="U2" i="20"/>
  <c r="U64" i="19"/>
  <c r="U63" i="19"/>
  <c r="U62" i="19"/>
  <c r="U61" i="19"/>
  <c r="U60" i="19"/>
  <c r="U59" i="19"/>
  <c r="U58" i="19"/>
  <c r="U57" i="19"/>
  <c r="U56" i="19"/>
  <c r="U55" i="19"/>
  <c r="U54" i="19"/>
  <c r="U53" i="19"/>
  <c r="U65" i="19" s="1"/>
  <c r="U49" i="19"/>
  <c r="U48" i="19"/>
  <c r="U47" i="19"/>
  <c r="U46" i="19"/>
  <c r="U45" i="19"/>
  <c r="U52" i="19" s="1"/>
  <c r="U43" i="19"/>
  <c r="U42" i="19"/>
  <c r="U41" i="19"/>
  <c r="U40" i="19"/>
  <c r="U39" i="19"/>
  <c r="U44" i="19" s="1"/>
  <c r="U37" i="19"/>
  <c r="U36" i="19"/>
  <c r="U35" i="19"/>
  <c r="U34" i="19"/>
  <c r="U33" i="19"/>
  <c r="U38" i="19" s="1"/>
  <c r="U30" i="19"/>
  <c r="U29" i="19"/>
  <c r="U28" i="19"/>
  <c r="U27" i="19"/>
  <c r="U31" i="19" s="1"/>
  <c r="U26" i="19"/>
  <c r="U25" i="19"/>
  <c r="U24" i="19"/>
  <c r="U23" i="19"/>
  <c r="U32" i="19" s="1"/>
  <c r="U22" i="19"/>
  <c r="U21" i="19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U17" i="19" s="1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Z14" i="19" s="1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Z2" i="19"/>
  <c r="U2" i="19"/>
  <c r="U10" i="19" s="1"/>
  <c r="U64" i="18"/>
  <c r="U63" i="18"/>
  <c r="U62" i="18"/>
  <c r="U61" i="18"/>
  <c r="U60" i="18"/>
  <c r="U59" i="18"/>
  <c r="U58" i="18"/>
  <c r="U57" i="18"/>
  <c r="U56" i="18"/>
  <c r="U55" i="18"/>
  <c r="U54" i="18"/>
  <c r="U53" i="18"/>
  <c r="U65" i="18" s="1"/>
  <c r="U49" i="18"/>
  <c r="U48" i="18"/>
  <c r="U47" i="18"/>
  <c r="U46" i="18"/>
  <c r="U45" i="18"/>
  <c r="U52" i="18" s="1"/>
  <c r="U43" i="18"/>
  <c r="U42" i="18"/>
  <c r="U41" i="18"/>
  <c r="U40" i="18"/>
  <c r="U39" i="18"/>
  <c r="U44" i="18" s="1"/>
  <c r="U37" i="18"/>
  <c r="U36" i="18"/>
  <c r="U35" i="18"/>
  <c r="U34" i="18"/>
  <c r="U33" i="18"/>
  <c r="U38" i="18" s="1"/>
  <c r="U30" i="18"/>
  <c r="U29" i="18"/>
  <c r="U28" i="18"/>
  <c r="U27" i="18"/>
  <c r="U26" i="18"/>
  <c r="U25" i="18"/>
  <c r="U31" i="18" s="1"/>
  <c r="U24" i="18"/>
  <c r="U22" i="18"/>
  <c r="U21" i="18"/>
  <c r="U23" i="18" s="1"/>
  <c r="U20" i="18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U17" i="18" s="1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Z14" i="18" s="1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U10" i="18" s="1"/>
  <c r="Z2" i="18"/>
  <c r="U2" i="18"/>
  <c r="U64" i="17"/>
  <c r="U63" i="17"/>
  <c r="U62" i="17"/>
  <c r="U61" i="17"/>
  <c r="U60" i="17"/>
  <c r="U59" i="17"/>
  <c r="U58" i="17"/>
  <c r="U57" i="17"/>
  <c r="U56" i="17"/>
  <c r="U55" i="17"/>
  <c r="U54" i="17"/>
  <c r="U53" i="17"/>
  <c r="U65" i="17" s="1"/>
  <c r="U49" i="17"/>
  <c r="U48" i="17"/>
  <c r="U47" i="17"/>
  <c r="U46" i="17"/>
  <c r="U45" i="17"/>
  <c r="U52" i="17" s="1"/>
  <c r="U43" i="17"/>
  <c r="U42" i="17"/>
  <c r="U41" i="17"/>
  <c r="U40" i="17"/>
  <c r="U39" i="17"/>
  <c r="U44" i="17" s="1"/>
  <c r="U37" i="17"/>
  <c r="U36" i="17"/>
  <c r="U35" i="17"/>
  <c r="U34" i="17"/>
  <c r="U33" i="17"/>
  <c r="U38" i="17" s="1"/>
  <c r="U30" i="17"/>
  <c r="U29" i="17"/>
  <c r="U28" i="17"/>
  <c r="U27" i="17"/>
  <c r="U31" i="17" s="1"/>
  <c r="U26" i="17"/>
  <c r="U25" i="17"/>
  <c r="U24" i="17"/>
  <c r="U23" i="17"/>
  <c r="U32" i="17" s="1"/>
  <c r="U22" i="17"/>
  <c r="U21" i="17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U17" i="17" s="1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Z14" i="17" s="1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Z2" i="17"/>
  <c r="U2" i="17"/>
  <c r="U10" i="17" s="1"/>
  <c r="U18" i="17" s="1"/>
  <c r="U67" i="17" s="1"/>
  <c r="U64" i="16"/>
  <c r="U63" i="16"/>
  <c r="U62" i="16"/>
  <c r="U61" i="16"/>
  <c r="U60" i="16"/>
  <c r="U59" i="16"/>
  <c r="U58" i="16"/>
  <c r="U57" i="16"/>
  <c r="U56" i="16"/>
  <c r="U55" i="16"/>
  <c r="U54" i="16"/>
  <c r="U53" i="16"/>
  <c r="U65" i="16" s="1"/>
  <c r="U49" i="16"/>
  <c r="U48" i="16"/>
  <c r="U47" i="16"/>
  <c r="U46" i="16"/>
  <c r="U45" i="16"/>
  <c r="U52" i="16" s="1"/>
  <c r="U43" i="16"/>
  <c r="U42" i="16"/>
  <c r="U41" i="16"/>
  <c r="U40" i="16"/>
  <c r="U39" i="16"/>
  <c r="U44" i="16" s="1"/>
  <c r="U37" i="16"/>
  <c r="U36" i="16"/>
  <c r="U35" i="16"/>
  <c r="U34" i="16"/>
  <c r="U33" i="16"/>
  <c r="U38" i="16" s="1"/>
  <c r="U30" i="16"/>
  <c r="U29" i="16"/>
  <c r="U28" i="16"/>
  <c r="U27" i="16"/>
  <c r="U26" i="16"/>
  <c r="U25" i="16"/>
  <c r="U31" i="16" s="1"/>
  <c r="U24" i="16"/>
  <c r="U22" i="16"/>
  <c r="U21" i="16"/>
  <c r="U23" i="16" s="1"/>
  <c r="U32" i="16" s="1"/>
  <c r="U20" i="16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U17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Z14" i="16" s="1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U10" i="16" s="1"/>
  <c r="U18" i="16" s="1"/>
  <c r="U67" i="16" s="1"/>
  <c r="Z2" i="16"/>
  <c r="U2" i="16"/>
  <c r="U64" i="15"/>
  <c r="U63" i="15"/>
  <c r="U62" i="15"/>
  <c r="U61" i="15"/>
  <c r="U60" i="15"/>
  <c r="U59" i="15"/>
  <c r="U58" i="15"/>
  <c r="U57" i="15"/>
  <c r="U56" i="15"/>
  <c r="U55" i="15"/>
  <c r="U54" i="15"/>
  <c r="U53" i="15"/>
  <c r="U65" i="15" s="1"/>
  <c r="U49" i="15"/>
  <c r="U48" i="15"/>
  <c r="U47" i="15"/>
  <c r="U46" i="15"/>
  <c r="U45" i="15"/>
  <c r="U52" i="15" s="1"/>
  <c r="U43" i="15"/>
  <c r="U42" i="15"/>
  <c r="U41" i="15"/>
  <c r="U40" i="15"/>
  <c r="U39" i="15"/>
  <c r="U44" i="15" s="1"/>
  <c r="U37" i="15"/>
  <c r="U36" i="15"/>
  <c r="U35" i="15"/>
  <c r="U34" i="15"/>
  <c r="U33" i="15"/>
  <c r="U38" i="15" s="1"/>
  <c r="U30" i="15"/>
  <c r="U29" i="15"/>
  <c r="U28" i="15"/>
  <c r="U27" i="15"/>
  <c r="U31" i="15" s="1"/>
  <c r="U26" i="15"/>
  <c r="U25" i="15"/>
  <c r="U24" i="15"/>
  <c r="U23" i="15"/>
  <c r="U32" i="15" s="1"/>
  <c r="U22" i="15"/>
  <c r="U21" i="15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U17" i="15" s="1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Z14" i="15" s="1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Z2" i="15"/>
  <c r="U2" i="15"/>
  <c r="U10" i="15" s="1"/>
  <c r="U64" i="14"/>
  <c r="U63" i="14"/>
  <c r="U62" i="14"/>
  <c r="U61" i="14"/>
  <c r="U60" i="14"/>
  <c r="U59" i="14"/>
  <c r="U58" i="14"/>
  <c r="U57" i="14"/>
  <c r="U56" i="14"/>
  <c r="U55" i="14"/>
  <c r="U54" i="14"/>
  <c r="U53" i="14"/>
  <c r="U65" i="14" s="1"/>
  <c r="U49" i="14"/>
  <c r="U48" i="14"/>
  <c r="U47" i="14"/>
  <c r="U46" i="14"/>
  <c r="U45" i="14"/>
  <c r="U52" i="14" s="1"/>
  <c r="U43" i="14"/>
  <c r="U42" i="14"/>
  <c r="U41" i="14"/>
  <c r="U40" i="14"/>
  <c r="U39" i="14"/>
  <c r="U44" i="14" s="1"/>
  <c r="U37" i="14"/>
  <c r="U36" i="14"/>
  <c r="U35" i="14"/>
  <c r="U34" i="14"/>
  <c r="U33" i="14"/>
  <c r="U38" i="14" s="1"/>
  <c r="U30" i="14"/>
  <c r="U29" i="14"/>
  <c r="U28" i="14"/>
  <c r="U27" i="14"/>
  <c r="U26" i="14"/>
  <c r="U25" i="14"/>
  <c r="U31" i="14" s="1"/>
  <c r="U24" i="14"/>
  <c r="U22" i="14"/>
  <c r="U21" i="14"/>
  <c r="U23" i="14" s="1"/>
  <c r="U20" i="14"/>
  <c r="Z19" i="14"/>
  <c r="U19" i="14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U17" i="14" s="1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Z14" i="14" s="1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U10" i="14" s="1"/>
  <c r="Z2" i="14"/>
  <c r="U2" i="14"/>
  <c r="U64" i="13"/>
  <c r="U63" i="13"/>
  <c r="U62" i="13"/>
  <c r="U61" i="13"/>
  <c r="U60" i="13"/>
  <c r="U59" i="13"/>
  <c r="U58" i="13"/>
  <c r="U57" i="13"/>
  <c r="U56" i="13"/>
  <c r="U55" i="13"/>
  <c r="U54" i="13"/>
  <c r="U53" i="13"/>
  <c r="U65" i="13" s="1"/>
  <c r="U49" i="13"/>
  <c r="U48" i="13"/>
  <c r="U47" i="13"/>
  <c r="U46" i="13"/>
  <c r="U45" i="13"/>
  <c r="U52" i="13" s="1"/>
  <c r="U43" i="13"/>
  <c r="U42" i="13"/>
  <c r="U41" i="13"/>
  <c r="U40" i="13"/>
  <c r="U39" i="13"/>
  <c r="U44" i="13" s="1"/>
  <c r="U37" i="13"/>
  <c r="U36" i="13"/>
  <c r="U35" i="13"/>
  <c r="U34" i="13"/>
  <c r="U33" i="13"/>
  <c r="U38" i="13" s="1"/>
  <c r="U30" i="13"/>
  <c r="U29" i="13"/>
  <c r="U28" i="13"/>
  <c r="U27" i="13"/>
  <c r="U31" i="13" s="1"/>
  <c r="U26" i="13"/>
  <c r="U25" i="13"/>
  <c r="U24" i="13"/>
  <c r="U23" i="13"/>
  <c r="U32" i="13" s="1"/>
  <c r="U22" i="13"/>
  <c r="U21" i="13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U17" i="13" s="1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Z14" i="13" s="1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Z2" i="13"/>
  <c r="U2" i="13"/>
  <c r="U10" i="13" s="1"/>
  <c r="U18" i="13" s="1"/>
  <c r="U64" i="12"/>
  <c r="U63" i="12"/>
  <c r="U62" i="12"/>
  <c r="U61" i="12"/>
  <c r="U60" i="12"/>
  <c r="U59" i="12"/>
  <c r="U58" i="12"/>
  <c r="U57" i="12"/>
  <c r="U56" i="12"/>
  <c r="U55" i="12"/>
  <c r="U54" i="12"/>
  <c r="U53" i="12"/>
  <c r="U65" i="12" s="1"/>
  <c r="U49" i="12"/>
  <c r="U48" i="12"/>
  <c r="U47" i="12"/>
  <c r="U46" i="12"/>
  <c r="U45" i="12"/>
  <c r="U52" i="12" s="1"/>
  <c r="U43" i="12"/>
  <c r="U42" i="12"/>
  <c r="U41" i="12"/>
  <c r="U40" i="12"/>
  <c r="U39" i="12"/>
  <c r="U44" i="12" s="1"/>
  <c r="U37" i="12"/>
  <c r="U36" i="12"/>
  <c r="U35" i="12"/>
  <c r="U34" i="12"/>
  <c r="U33" i="12"/>
  <c r="U38" i="12" s="1"/>
  <c r="U30" i="12"/>
  <c r="U29" i="12"/>
  <c r="U28" i="12"/>
  <c r="U27" i="12"/>
  <c r="U26" i="12"/>
  <c r="U25" i="12"/>
  <c r="U31" i="12" s="1"/>
  <c r="U24" i="12"/>
  <c r="U22" i="12"/>
  <c r="U21" i="12"/>
  <c r="U23" i="12" s="1"/>
  <c r="U32" i="12" s="1"/>
  <c r="U20" i="12"/>
  <c r="Z19" i="12"/>
  <c r="U19" i="12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U17" i="12" s="1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Z14" i="12" s="1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U10" i="12" s="1"/>
  <c r="U18" i="12" s="1"/>
  <c r="Z2" i="12"/>
  <c r="U2" i="12"/>
  <c r="U64" i="11"/>
  <c r="U63" i="11"/>
  <c r="U62" i="11"/>
  <c r="U61" i="11"/>
  <c r="U60" i="11"/>
  <c r="U59" i="11"/>
  <c r="U58" i="11"/>
  <c r="U57" i="11"/>
  <c r="U56" i="11"/>
  <c r="U55" i="11"/>
  <c r="U54" i="11"/>
  <c r="U53" i="11"/>
  <c r="U65" i="11" s="1"/>
  <c r="U49" i="11"/>
  <c r="U48" i="11"/>
  <c r="U47" i="11"/>
  <c r="U46" i="11"/>
  <c r="U45" i="11"/>
  <c r="U52" i="11" s="1"/>
  <c r="U43" i="11"/>
  <c r="U42" i="11"/>
  <c r="U41" i="11"/>
  <c r="U40" i="11"/>
  <c r="U39" i="11"/>
  <c r="U44" i="11" s="1"/>
  <c r="U37" i="11"/>
  <c r="U36" i="11"/>
  <c r="U35" i="11"/>
  <c r="U34" i="11"/>
  <c r="U33" i="11"/>
  <c r="U38" i="11" s="1"/>
  <c r="U30" i="11"/>
  <c r="U29" i="11"/>
  <c r="U28" i="11"/>
  <c r="U27" i="11"/>
  <c r="U31" i="11" s="1"/>
  <c r="U26" i="11"/>
  <c r="U25" i="11"/>
  <c r="U24" i="11"/>
  <c r="U23" i="11"/>
  <c r="U32" i="11" s="1"/>
  <c r="U22" i="11"/>
  <c r="U21" i="1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U17" i="11" s="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Z2" i="11"/>
  <c r="U2" i="11"/>
  <c r="U10" i="11" s="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52" i="10" s="1"/>
  <c r="U43" i="10"/>
  <c r="U42" i="10"/>
  <c r="U41" i="10"/>
  <c r="U40" i="10"/>
  <c r="U39" i="10"/>
  <c r="U44" i="10" s="1"/>
  <c r="U37" i="10"/>
  <c r="U36" i="10"/>
  <c r="U35" i="10"/>
  <c r="U34" i="10"/>
  <c r="U33" i="10"/>
  <c r="U38" i="10" s="1"/>
  <c r="U30" i="10"/>
  <c r="U29" i="10"/>
  <c r="U28" i="10"/>
  <c r="U27" i="10"/>
  <c r="U26" i="10"/>
  <c r="U25" i="10"/>
  <c r="U31" i="10" s="1"/>
  <c r="U24" i="10"/>
  <c r="U22" i="10"/>
  <c r="U21" i="10"/>
  <c r="U23" i="10" s="1"/>
  <c r="U20" i="10"/>
  <c r="Z19" i="10"/>
  <c r="U19" i="10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U17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Z4" i="10"/>
  <c r="Z14" i="10" s="1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U10" i="10" s="1"/>
  <c r="Z2" i="10"/>
  <c r="U2" i="10"/>
  <c r="U64" i="9"/>
  <c r="U63" i="9"/>
  <c r="U62" i="9"/>
  <c r="U61" i="9"/>
  <c r="U60" i="9"/>
  <c r="U59" i="9"/>
  <c r="U58" i="9"/>
  <c r="U57" i="9"/>
  <c r="U56" i="9"/>
  <c r="U55" i="9"/>
  <c r="U54" i="9"/>
  <c r="U53" i="9"/>
  <c r="U65" i="9" s="1"/>
  <c r="U49" i="9"/>
  <c r="U48" i="9"/>
  <c r="U47" i="9"/>
  <c r="U46" i="9"/>
  <c r="U45" i="9"/>
  <c r="U52" i="9" s="1"/>
  <c r="U43" i="9"/>
  <c r="U42" i="9"/>
  <c r="U41" i="9"/>
  <c r="U40" i="9"/>
  <c r="U39" i="9"/>
  <c r="U44" i="9" s="1"/>
  <c r="U37" i="9"/>
  <c r="U36" i="9"/>
  <c r="U35" i="9"/>
  <c r="U34" i="9"/>
  <c r="U33" i="9"/>
  <c r="U38" i="9" s="1"/>
  <c r="U30" i="9"/>
  <c r="U29" i="9"/>
  <c r="U28" i="9"/>
  <c r="U27" i="9"/>
  <c r="U31" i="9" s="1"/>
  <c r="U26" i="9"/>
  <c r="U25" i="9"/>
  <c r="U24" i="9"/>
  <c r="U23" i="9"/>
  <c r="U32" i="9" s="1"/>
  <c r="U22" i="9"/>
  <c r="U21" i="9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U17" i="9" s="1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8" i="9"/>
  <c r="U8" i="9"/>
  <c r="Z7" i="9"/>
  <c r="U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Z4" i="9"/>
  <c r="Z14" i="9" s="1"/>
  <c r="U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Z3" i="9"/>
  <c r="U3" i="9"/>
  <c r="Z2" i="9"/>
  <c r="U2" i="9"/>
  <c r="U10" i="9" s="1"/>
  <c r="U18" i="9" s="1"/>
  <c r="U67" i="9" s="1"/>
  <c r="U64" i="8"/>
  <c r="U63" i="8"/>
  <c r="U62" i="8"/>
  <c r="U61" i="8"/>
  <c r="U60" i="8"/>
  <c r="U59" i="8"/>
  <c r="U58" i="8"/>
  <c r="U57" i="8"/>
  <c r="U56" i="8"/>
  <c r="U55" i="8"/>
  <c r="U54" i="8"/>
  <c r="U53" i="8"/>
  <c r="U49" i="8"/>
  <c r="U48" i="8"/>
  <c r="U47" i="8"/>
  <c r="U46" i="8"/>
  <c r="U45" i="8"/>
  <c r="U52" i="8" s="1"/>
  <c r="U43" i="8"/>
  <c r="U42" i="8"/>
  <c r="U41" i="8"/>
  <c r="U40" i="8"/>
  <c r="U39" i="8"/>
  <c r="U44" i="8" s="1"/>
  <c r="U37" i="8"/>
  <c r="U36" i="8"/>
  <c r="U35" i="8"/>
  <c r="U34" i="8"/>
  <c r="U33" i="8"/>
  <c r="U38" i="8" s="1"/>
  <c r="U30" i="8"/>
  <c r="U29" i="8"/>
  <c r="U28" i="8"/>
  <c r="U27" i="8"/>
  <c r="U26" i="8"/>
  <c r="U25" i="8"/>
  <c r="U31" i="8" s="1"/>
  <c r="U24" i="8"/>
  <c r="U22" i="8"/>
  <c r="U21" i="8"/>
  <c r="U23" i="8" s="1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U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U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U8" i="8"/>
  <c r="Z7" i="8"/>
  <c r="U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Z6" i="8"/>
  <c r="U6" i="8"/>
  <c r="P6" i="8"/>
  <c r="O6" i="8"/>
  <c r="N6" i="8"/>
  <c r="N77" i="3" s="1"/>
  <c r="M6" i="8"/>
  <c r="L6" i="8"/>
  <c r="K6" i="8"/>
  <c r="J6" i="8"/>
  <c r="J77" i="3" s="1"/>
  <c r="I6" i="8"/>
  <c r="H6" i="8"/>
  <c r="G6" i="8"/>
  <c r="F6" i="8"/>
  <c r="F77" i="3" s="1"/>
  <c r="E6" i="8"/>
  <c r="D6" i="8"/>
  <c r="C6" i="8"/>
  <c r="B6" i="8"/>
  <c r="Z5" i="8"/>
  <c r="U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Z4" i="8"/>
  <c r="U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Z3" i="8"/>
  <c r="U3" i="8"/>
  <c r="U10" i="8" s="1"/>
  <c r="Z2" i="8"/>
  <c r="U2" i="8"/>
  <c r="U64" i="7"/>
  <c r="U63" i="7"/>
  <c r="U62" i="7"/>
  <c r="U61" i="7"/>
  <c r="U60" i="7"/>
  <c r="U59" i="7"/>
  <c r="U58" i="7"/>
  <c r="U57" i="7"/>
  <c r="U56" i="7"/>
  <c r="U55" i="7"/>
  <c r="U54" i="7"/>
  <c r="U53" i="7"/>
  <c r="U65" i="7" s="1"/>
  <c r="U49" i="7"/>
  <c r="U48" i="7"/>
  <c r="U47" i="7"/>
  <c r="U46" i="7"/>
  <c r="U45" i="7"/>
  <c r="U52" i="7" s="1"/>
  <c r="U43" i="7"/>
  <c r="U42" i="7"/>
  <c r="U41" i="7"/>
  <c r="U40" i="7"/>
  <c r="U39" i="7"/>
  <c r="U37" i="7"/>
  <c r="U36" i="7"/>
  <c r="U35" i="7"/>
  <c r="U34" i="7"/>
  <c r="U33" i="7"/>
  <c r="U30" i="7"/>
  <c r="U29" i="7"/>
  <c r="U28" i="7"/>
  <c r="U27" i="7"/>
  <c r="U31" i="7" s="1"/>
  <c r="U26" i="7"/>
  <c r="U25" i="7"/>
  <c r="U24" i="7"/>
  <c r="U23" i="7"/>
  <c r="U22" i="7"/>
  <c r="U21" i="7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U13" i="7"/>
  <c r="Z12" i="7"/>
  <c r="U12" i="7"/>
  <c r="U17" i="7" s="1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Z11" i="7"/>
  <c r="U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Z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U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U8" i="7"/>
  <c r="Z7" i="7"/>
  <c r="U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Z6" i="7"/>
  <c r="U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Z5" i="7"/>
  <c r="U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Z4" i="7"/>
  <c r="Z14" i="7" s="1"/>
  <c r="U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Z3" i="7"/>
  <c r="U3" i="7"/>
  <c r="Z2" i="7"/>
  <c r="U2" i="7"/>
  <c r="U10" i="7" s="1"/>
  <c r="U18" i="7" s="1"/>
  <c r="U64" i="6"/>
  <c r="U63" i="6"/>
  <c r="U62" i="6"/>
  <c r="U61" i="6"/>
  <c r="U60" i="6"/>
  <c r="U59" i="6"/>
  <c r="U58" i="6"/>
  <c r="U57" i="6"/>
  <c r="U56" i="6"/>
  <c r="U55" i="6"/>
  <c r="U54" i="6"/>
  <c r="U53" i="6"/>
  <c r="U65" i="6" s="1"/>
  <c r="U49" i="6"/>
  <c r="U48" i="6"/>
  <c r="U47" i="6"/>
  <c r="U46" i="6"/>
  <c r="U45" i="6"/>
  <c r="U52" i="6" s="1"/>
  <c r="U43" i="6"/>
  <c r="U42" i="6"/>
  <c r="U41" i="6"/>
  <c r="U40" i="6"/>
  <c r="U39" i="6"/>
  <c r="U44" i="6" s="1"/>
  <c r="U37" i="6"/>
  <c r="U36" i="6"/>
  <c r="U35" i="6"/>
  <c r="U34" i="6"/>
  <c r="U33" i="6"/>
  <c r="U30" i="6"/>
  <c r="U29" i="6"/>
  <c r="U28" i="6"/>
  <c r="U27" i="6"/>
  <c r="U26" i="6"/>
  <c r="U25" i="6"/>
  <c r="U31" i="6" s="1"/>
  <c r="U24" i="6"/>
  <c r="U22" i="6"/>
  <c r="U21" i="6"/>
  <c r="U23" i="6" s="1"/>
  <c r="U20" i="6"/>
  <c r="Z19" i="6"/>
  <c r="U19" i="6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U17" i="6" s="1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U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U8" i="6"/>
  <c r="Z7" i="6"/>
  <c r="U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6" i="6"/>
  <c r="U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Z5" i="6"/>
  <c r="U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Z4" i="6"/>
  <c r="Z14" i="6" s="1"/>
  <c r="U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Z3" i="6"/>
  <c r="U3" i="6"/>
  <c r="Z2" i="6"/>
  <c r="U2" i="6"/>
  <c r="U10" i="6" s="1"/>
  <c r="U64" i="5"/>
  <c r="U63" i="5"/>
  <c r="U62" i="5"/>
  <c r="U61" i="5"/>
  <c r="U60" i="5"/>
  <c r="U59" i="5"/>
  <c r="U58" i="5"/>
  <c r="U57" i="5"/>
  <c r="U56" i="5"/>
  <c r="U55" i="5"/>
  <c r="U54" i="5"/>
  <c r="U53" i="5"/>
  <c r="U65" i="5" s="1"/>
  <c r="U49" i="5"/>
  <c r="U48" i="5"/>
  <c r="U47" i="5"/>
  <c r="U46" i="5"/>
  <c r="U45" i="5"/>
  <c r="U52" i="5" s="1"/>
  <c r="U43" i="5"/>
  <c r="U42" i="5"/>
  <c r="U41" i="5"/>
  <c r="U40" i="5"/>
  <c r="U39" i="5"/>
  <c r="U44" i="5" s="1"/>
  <c r="U37" i="5"/>
  <c r="U36" i="5"/>
  <c r="U35" i="5"/>
  <c r="U34" i="5"/>
  <c r="U33" i="5"/>
  <c r="U30" i="5"/>
  <c r="U29" i="5"/>
  <c r="U28" i="5"/>
  <c r="U27" i="5"/>
  <c r="U26" i="5"/>
  <c r="U25" i="5"/>
  <c r="U31" i="5" s="1"/>
  <c r="U24" i="5"/>
  <c r="U22" i="5"/>
  <c r="U21" i="5"/>
  <c r="U23" i="5" s="1"/>
  <c r="U20" i="5"/>
  <c r="Z19" i="5"/>
  <c r="U19" i="5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U17" i="5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U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Z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Z9" i="5"/>
  <c r="U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U8" i="5"/>
  <c r="Z7" i="5"/>
  <c r="U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Z6" i="5"/>
  <c r="U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Z5" i="5"/>
  <c r="U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Z4" i="5"/>
  <c r="Z14" i="5" s="1"/>
  <c r="U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Z3" i="5"/>
  <c r="U3" i="5"/>
  <c r="Z2" i="5"/>
  <c r="U2" i="5"/>
  <c r="U10" i="5" s="1"/>
  <c r="U18" i="5" s="1"/>
  <c r="U64" i="4"/>
  <c r="U63" i="4"/>
  <c r="U62" i="4"/>
  <c r="U61" i="4"/>
  <c r="U60" i="4"/>
  <c r="U59" i="4"/>
  <c r="U58" i="4"/>
  <c r="U57" i="4"/>
  <c r="U56" i="4"/>
  <c r="U55" i="4"/>
  <c r="U54" i="4"/>
  <c r="U53" i="4"/>
  <c r="U65" i="4" s="1"/>
  <c r="U49" i="4"/>
  <c r="U48" i="4"/>
  <c r="U47" i="4"/>
  <c r="U46" i="4"/>
  <c r="U45" i="4"/>
  <c r="U43" i="4"/>
  <c r="U42" i="4"/>
  <c r="U41" i="4"/>
  <c r="U40" i="4"/>
  <c r="U39" i="4"/>
  <c r="U44" i="4" s="1"/>
  <c r="U37" i="4"/>
  <c r="U36" i="4"/>
  <c r="U35" i="4"/>
  <c r="U34" i="4"/>
  <c r="U38" i="4" s="1"/>
  <c r="U33" i="4"/>
  <c r="U30" i="4"/>
  <c r="U29" i="4"/>
  <c r="U28" i="4"/>
  <c r="U27" i="4"/>
  <c r="U26" i="4"/>
  <c r="U25" i="4"/>
  <c r="U31" i="4" s="1"/>
  <c r="U24" i="4"/>
  <c r="U22" i="4"/>
  <c r="U21" i="4"/>
  <c r="U20" i="4"/>
  <c r="Z19" i="4"/>
  <c r="U19" i="4"/>
  <c r="U23" i="4" s="1"/>
  <c r="U32" i="4" s="1"/>
  <c r="Z18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U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U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U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Z13" i="4"/>
  <c r="U13" i="4"/>
  <c r="Z12" i="4"/>
  <c r="U12" i="4"/>
  <c r="P12" i="4"/>
  <c r="O12" i="4"/>
  <c r="N12" i="4"/>
  <c r="M12" i="4"/>
  <c r="L12" i="4"/>
  <c r="K12" i="4"/>
  <c r="J12" i="4"/>
  <c r="I12" i="4"/>
  <c r="H12" i="4"/>
  <c r="G12" i="4"/>
  <c r="D44" i="3" s="1"/>
  <c r="F12" i="4"/>
  <c r="E12" i="4"/>
  <c r="D12" i="4"/>
  <c r="C12" i="4"/>
  <c r="B12" i="4"/>
  <c r="Z11" i="4"/>
  <c r="U11" i="4"/>
  <c r="U17" i="4" s="1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S38" i="3" s="1"/>
  <c r="C11" i="4"/>
  <c r="B11" i="4"/>
  <c r="Z10" i="4"/>
  <c r="P10" i="4"/>
  <c r="O10" i="4"/>
  <c r="N10" i="4"/>
  <c r="M10" i="4"/>
  <c r="L10" i="4"/>
  <c r="K10" i="4"/>
  <c r="J10" i="4"/>
  <c r="I10" i="4"/>
  <c r="F42" i="3" s="1"/>
  <c r="H10" i="4"/>
  <c r="G10" i="4"/>
  <c r="F10" i="4"/>
  <c r="E10" i="4"/>
  <c r="B42" i="3" s="1"/>
  <c r="D10" i="4"/>
  <c r="C10" i="4"/>
  <c r="B10" i="4"/>
  <c r="Z9" i="4"/>
  <c r="U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Q36" i="3" s="1"/>
  <c r="Z8" i="4"/>
  <c r="U8" i="4"/>
  <c r="Z7" i="4"/>
  <c r="U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Z6" i="4"/>
  <c r="U6" i="4"/>
  <c r="P6" i="4"/>
  <c r="O6" i="4"/>
  <c r="N6" i="4"/>
  <c r="N38" i="3" s="1"/>
  <c r="M6" i="4"/>
  <c r="L6" i="4"/>
  <c r="K6" i="4"/>
  <c r="J6" i="4"/>
  <c r="J38" i="3" s="1"/>
  <c r="I6" i="4"/>
  <c r="H6" i="4"/>
  <c r="G6" i="4"/>
  <c r="F6" i="4"/>
  <c r="F38" i="3" s="1"/>
  <c r="E6" i="4"/>
  <c r="D6" i="4"/>
  <c r="C6" i="4"/>
  <c r="B6" i="4"/>
  <c r="B38" i="3" s="1"/>
  <c r="Z5" i="4"/>
  <c r="U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Z4" i="4"/>
  <c r="U4" i="4"/>
  <c r="P4" i="4"/>
  <c r="P36" i="3" s="1"/>
  <c r="O4" i="4"/>
  <c r="N4" i="4"/>
  <c r="M4" i="4"/>
  <c r="L4" i="4"/>
  <c r="L36" i="3" s="1"/>
  <c r="K4" i="4"/>
  <c r="J4" i="4"/>
  <c r="I4" i="4"/>
  <c r="H4" i="4"/>
  <c r="H36" i="3" s="1"/>
  <c r="G4" i="4"/>
  <c r="F4" i="4"/>
  <c r="E4" i="4"/>
  <c r="D4" i="4"/>
  <c r="D36" i="3" s="1"/>
  <c r="C4" i="4"/>
  <c r="B4" i="4"/>
  <c r="Z3" i="4"/>
  <c r="Z14" i="4" s="1"/>
  <c r="U3" i="4"/>
  <c r="U10" i="4" s="1"/>
  <c r="U18" i="4" s="1"/>
  <c r="Z2" i="4"/>
  <c r="U2" i="4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C269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C262" i="3"/>
  <c r="G260" i="3"/>
  <c r="F260" i="3"/>
  <c r="E260" i="3"/>
  <c r="D260" i="3"/>
  <c r="C260" i="3"/>
  <c r="B260" i="3"/>
  <c r="A260" i="3"/>
  <c r="G259" i="3"/>
  <c r="F259" i="3"/>
  <c r="E259" i="3"/>
  <c r="D259" i="3"/>
  <c r="C259" i="3"/>
  <c r="B259" i="3"/>
  <c r="A259" i="3"/>
  <c r="G258" i="3"/>
  <c r="F258" i="3"/>
  <c r="E258" i="3"/>
  <c r="D258" i="3"/>
  <c r="C258" i="3"/>
  <c r="B258" i="3"/>
  <c r="A258" i="3"/>
  <c r="G257" i="3"/>
  <c r="F257" i="3"/>
  <c r="E257" i="3"/>
  <c r="D257" i="3"/>
  <c r="C257" i="3"/>
  <c r="B257" i="3"/>
  <c r="A257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C250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C242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C235" i="3"/>
  <c r="G233" i="3"/>
  <c r="F233" i="3"/>
  <c r="E233" i="3"/>
  <c r="D233" i="3"/>
  <c r="C233" i="3"/>
  <c r="B233" i="3"/>
  <c r="A233" i="3"/>
  <c r="G232" i="3"/>
  <c r="F232" i="3"/>
  <c r="E232" i="3"/>
  <c r="D232" i="3"/>
  <c r="C232" i="3"/>
  <c r="B232" i="3"/>
  <c r="A232" i="3"/>
  <c r="G231" i="3"/>
  <c r="F231" i="3"/>
  <c r="E231" i="3"/>
  <c r="D231" i="3"/>
  <c r="C231" i="3"/>
  <c r="B231" i="3"/>
  <c r="A231" i="3"/>
  <c r="G230" i="3"/>
  <c r="F230" i="3"/>
  <c r="E230" i="3"/>
  <c r="D230" i="3"/>
  <c r="C230" i="3"/>
  <c r="B230" i="3"/>
  <c r="A230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C223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C215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C208" i="3"/>
  <c r="G206" i="3"/>
  <c r="F206" i="3"/>
  <c r="E206" i="3"/>
  <c r="D206" i="3"/>
  <c r="C206" i="3"/>
  <c r="B206" i="3"/>
  <c r="A206" i="3"/>
  <c r="G205" i="3"/>
  <c r="F205" i="3"/>
  <c r="E205" i="3"/>
  <c r="D205" i="3"/>
  <c r="C205" i="3"/>
  <c r="B205" i="3"/>
  <c r="A205" i="3"/>
  <c r="G204" i="3"/>
  <c r="F204" i="3"/>
  <c r="E204" i="3"/>
  <c r="D204" i="3"/>
  <c r="C204" i="3"/>
  <c r="B204" i="3"/>
  <c r="A204" i="3"/>
  <c r="G203" i="3"/>
  <c r="F203" i="3"/>
  <c r="E203" i="3"/>
  <c r="D203" i="3"/>
  <c r="C203" i="3"/>
  <c r="B203" i="3"/>
  <c r="A203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C196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C188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C181" i="3"/>
  <c r="G179" i="3"/>
  <c r="F179" i="3"/>
  <c r="E179" i="3"/>
  <c r="D179" i="3"/>
  <c r="C179" i="3"/>
  <c r="B179" i="3"/>
  <c r="A179" i="3"/>
  <c r="G178" i="3"/>
  <c r="F178" i="3"/>
  <c r="E178" i="3"/>
  <c r="D178" i="3"/>
  <c r="C178" i="3"/>
  <c r="B178" i="3"/>
  <c r="A178" i="3"/>
  <c r="G177" i="3"/>
  <c r="F177" i="3"/>
  <c r="E177" i="3"/>
  <c r="D177" i="3"/>
  <c r="C177" i="3"/>
  <c r="B177" i="3"/>
  <c r="A177" i="3"/>
  <c r="G176" i="3"/>
  <c r="F176" i="3"/>
  <c r="E176" i="3"/>
  <c r="D176" i="3"/>
  <c r="C176" i="3"/>
  <c r="B176" i="3"/>
  <c r="A176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C169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C161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C154" i="3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G149" i="3"/>
  <c r="F149" i="3"/>
  <c r="E149" i="3"/>
  <c r="D149" i="3"/>
  <c r="C149" i="3"/>
  <c r="B149" i="3"/>
  <c r="A149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C142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C134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C127" i="3"/>
  <c r="G125" i="3"/>
  <c r="F125" i="3"/>
  <c r="E125" i="3"/>
  <c r="D125" i="3"/>
  <c r="C125" i="3"/>
  <c r="B125" i="3"/>
  <c r="A125" i="3"/>
  <c r="G124" i="3"/>
  <c r="F124" i="3"/>
  <c r="E124" i="3"/>
  <c r="D124" i="3"/>
  <c r="C124" i="3"/>
  <c r="B124" i="3"/>
  <c r="A124" i="3"/>
  <c r="G123" i="3"/>
  <c r="F123" i="3"/>
  <c r="E123" i="3"/>
  <c r="D123" i="3"/>
  <c r="C123" i="3"/>
  <c r="B123" i="3"/>
  <c r="A123" i="3"/>
  <c r="G122" i="3"/>
  <c r="F122" i="3"/>
  <c r="E122" i="3"/>
  <c r="D122" i="3"/>
  <c r="C122" i="3"/>
  <c r="B122" i="3"/>
  <c r="A122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C115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C107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C100" i="3"/>
  <c r="G98" i="3"/>
  <c r="F98" i="3"/>
  <c r="E98" i="3"/>
  <c r="D98" i="3"/>
  <c r="C98" i="3"/>
  <c r="B98" i="3"/>
  <c r="A98" i="3"/>
  <c r="G97" i="3"/>
  <c r="F97" i="3"/>
  <c r="E97" i="3"/>
  <c r="D97" i="3"/>
  <c r="C97" i="3"/>
  <c r="B97" i="3"/>
  <c r="A97" i="3"/>
  <c r="G96" i="3"/>
  <c r="F96" i="3"/>
  <c r="E96" i="3"/>
  <c r="D96" i="3"/>
  <c r="C96" i="3"/>
  <c r="B96" i="3"/>
  <c r="A96" i="3"/>
  <c r="G95" i="3"/>
  <c r="F95" i="3"/>
  <c r="E95" i="3"/>
  <c r="D95" i="3"/>
  <c r="C95" i="3"/>
  <c r="B95" i="3"/>
  <c r="A95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C88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C80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S77" i="3"/>
  <c r="R77" i="3"/>
  <c r="Q77" i="3"/>
  <c r="P77" i="3"/>
  <c r="O77" i="3"/>
  <c r="M77" i="3"/>
  <c r="L77" i="3"/>
  <c r="K77" i="3"/>
  <c r="I77" i="3"/>
  <c r="H77" i="3"/>
  <c r="G77" i="3"/>
  <c r="E77" i="3"/>
  <c r="D77" i="3"/>
  <c r="C77" i="3"/>
  <c r="B77" i="3"/>
  <c r="A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C73" i="3"/>
  <c r="G71" i="3"/>
  <c r="F71" i="3"/>
  <c r="E71" i="3"/>
  <c r="D71" i="3"/>
  <c r="C71" i="3"/>
  <c r="B71" i="3"/>
  <c r="A71" i="3"/>
  <c r="G70" i="3"/>
  <c r="F70" i="3"/>
  <c r="E70" i="3"/>
  <c r="D70" i="3"/>
  <c r="C70" i="3"/>
  <c r="B70" i="3"/>
  <c r="A70" i="3"/>
  <c r="G69" i="3"/>
  <c r="F69" i="3"/>
  <c r="E69" i="3"/>
  <c r="D69" i="3"/>
  <c r="C69" i="3"/>
  <c r="B69" i="3"/>
  <c r="A69" i="3"/>
  <c r="G68" i="3"/>
  <c r="F68" i="3"/>
  <c r="E68" i="3"/>
  <c r="D68" i="3"/>
  <c r="C68" i="3"/>
  <c r="B68" i="3"/>
  <c r="A68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C61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C53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C46" i="3"/>
  <c r="G44" i="3"/>
  <c r="F44" i="3"/>
  <c r="E44" i="3"/>
  <c r="C44" i="3"/>
  <c r="B44" i="3"/>
  <c r="A44" i="3"/>
  <c r="G43" i="3"/>
  <c r="F43" i="3"/>
  <c r="E43" i="3"/>
  <c r="D43" i="3"/>
  <c r="C43" i="3"/>
  <c r="B43" i="3"/>
  <c r="A43" i="3"/>
  <c r="G42" i="3"/>
  <c r="E42" i="3"/>
  <c r="D42" i="3"/>
  <c r="C42" i="3"/>
  <c r="A42" i="3"/>
  <c r="G41" i="3"/>
  <c r="F41" i="3"/>
  <c r="E41" i="3"/>
  <c r="D41" i="3"/>
  <c r="C41" i="3"/>
  <c r="B41" i="3"/>
  <c r="A41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R38" i="3"/>
  <c r="Q38" i="3"/>
  <c r="P38" i="3"/>
  <c r="O38" i="3"/>
  <c r="M38" i="3"/>
  <c r="L38" i="3"/>
  <c r="K38" i="3"/>
  <c r="I38" i="3"/>
  <c r="H38" i="3"/>
  <c r="G38" i="3"/>
  <c r="E38" i="3"/>
  <c r="D38" i="3"/>
  <c r="C38" i="3"/>
  <c r="A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S36" i="3"/>
  <c r="R36" i="3"/>
  <c r="O36" i="3"/>
  <c r="N36" i="3"/>
  <c r="M36" i="3"/>
  <c r="K36" i="3"/>
  <c r="J36" i="3"/>
  <c r="I36" i="3"/>
  <c r="G36" i="3"/>
  <c r="F36" i="3"/>
  <c r="E36" i="3"/>
  <c r="C36" i="3"/>
  <c r="B36" i="3"/>
  <c r="A36" i="3"/>
  <c r="C34" i="3"/>
  <c r="U67" i="4" l="1"/>
  <c r="U32" i="6"/>
  <c r="U32" i="5"/>
  <c r="U67" i="5" s="1"/>
  <c r="U18" i="6"/>
  <c r="U67" i="6" s="1"/>
  <c r="U52" i="4"/>
  <c r="U18" i="14"/>
  <c r="U67" i="14" s="1"/>
  <c r="U32" i="14"/>
  <c r="U18" i="15"/>
  <c r="U67" i="15" s="1"/>
  <c r="U18" i="22"/>
  <c r="U32" i="22"/>
  <c r="U18" i="23"/>
  <c r="U67" i="23" s="1"/>
  <c r="U67" i="30"/>
  <c r="U32" i="7"/>
  <c r="U67" i="7" s="1"/>
  <c r="U32" i="8"/>
  <c r="U65" i="8"/>
  <c r="U38" i="5"/>
  <c r="U38" i="6"/>
  <c r="U38" i="7"/>
  <c r="Z14" i="8"/>
  <c r="U17" i="8"/>
  <c r="U18" i="8" s="1"/>
  <c r="U67" i="8" s="1"/>
  <c r="U18" i="10"/>
  <c r="U32" i="10"/>
  <c r="U18" i="11"/>
  <c r="U67" i="11" s="1"/>
  <c r="U18" i="18"/>
  <c r="U67" i="18" s="1"/>
  <c r="U32" i="18"/>
  <c r="U18" i="19"/>
  <c r="U67" i="19" s="1"/>
  <c r="U18" i="26"/>
  <c r="U32" i="26"/>
  <c r="U18" i="27"/>
  <c r="U67" i="27" s="1"/>
  <c r="U44" i="7"/>
  <c r="U67" i="12"/>
  <c r="U67" i="13"/>
  <c r="U67" i="20"/>
  <c r="U67" i="21"/>
  <c r="U67" i="28"/>
  <c r="U67" i="29"/>
  <c r="U67" i="10" l="1"/>
  <c r="U67" i="22"/>
  <c r="U67" i="26"/>
</calcChain>
</file>

<file path=xl/sharedStrings.xml><?xml version="1.0" encoding="utf-8"?>
<sst xmlns="http://schemas.openxmlformats.org/spreadsheetml/2006/main" count="5604" uniqueCount="446">
  <si>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</si>
  <si>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</si>
  <si>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</si>
  <si>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</si>
  <si>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</si>
  <si>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</si>
  <si>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</si>
  <si>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</si>
  <si>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</si>
  <si>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</si>
  <si>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</si>
  <si>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</si>
  <si>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</si>
  <si>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</si>
  <si>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</si>
  <si>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</si>
  <si>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</si>
  <si>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</si>
  <si>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</si>
  <si>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</si>
  <si>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</si>
  <si>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</si>
  <si>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</si>
  <si>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</si>
  <si>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</si>
  <si>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</si>
  <si>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</si>
  <si>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</si>
  <si>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</si>
  <si>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</si>
  <si>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</si>
  <si>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</si>
  <si>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</si>
  <si>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</si>
  <si>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</si>
  <si>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</si>
  <si>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</si>
  <si>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</si>
  <si>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</si>
  <si>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</si>
  <si>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</si>
  <si>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</si>
  <si>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</si>
  <si>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</si>
  <si>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</si>
  <si>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</si>
  <si>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</si>
  <si>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</si>
  <si>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</si>
  <si>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</si>
  <si>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</si>
  <si>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</si>
  <si>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</si>
  <si>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</si>
  <si>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</si>
  <si>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</si>
  <si>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</si>
  <si>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</si>
  <si>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</si>
  <si>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</si>
  <si>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</si>
  <si>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</si>
  <si>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</si>
  <si>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</si>
  <si>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</si>
  <si>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</si>
  <si>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</si>
  <si>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</si>
  <si>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</si>
  <si>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</si>
  <si>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</si>
  <si>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</si>
  <si>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</si>
  <si>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</si>
  <si>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</si>
  <si>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</si>
  <si>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</si>
  <si>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</si>
  <si>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</si>
  <si>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</si>
  <si>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</si>
  <si>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</si>
  <si>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</si>
  <si>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</si>
  <si>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</si>
  <si>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</si>
  <si>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</si>
  <si>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</si>
  <si>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</si>
  <si>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</si>
  <si>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</si>
  <si>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</si>
  <si>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</si>
  <si>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</si>
  <si>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</si>
  <si>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</si>
  <si>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</si>
  <si>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</si>
  <si>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</si>
  <si>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</si>
  <si>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</si>
  <si>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</si>
  <si>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</si>
  <si>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</si>
  <si>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</si>
  <si>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</si>
  <si>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</si>
  <si>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</si>
  <si>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</si>
  <si>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</si>
  <si>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</si>
  <si>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</si>
  <si>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</si>
  <si>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</si>
  <si>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</si>
  <si>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</si>
  <si>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</si>
  <si>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</si>
  <si>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</si>
  <si>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</si>
  <si>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</si>
  <si>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</si>
  <si>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</si>
  <si>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</si>
  <si>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</si>
  <si>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</si>
  <si>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</si>
  <si>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</si>
  <si>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</si>
  <si>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</si>
  <si>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</si>
  <si>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</si>
  <si>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</si>
  <si>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</si>
  <si>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</si>
  <si>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</si>
  <si>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</si>
  <si>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</si>
  <si>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</si>
  <si>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</si>
  <si>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</si>
  <si>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</si>
  <si>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</si>
  <si>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</si>
  <si>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</si>
  <si>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</si>
  <si>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</si>
  <si>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</si>
  <si>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</si>
  <si>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</si>
  <si>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</si>
  <si>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</si>
  <si>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</si>
  <si>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</si>
  <si>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</si>
  <si>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</si>
  <si>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</si>
  <si>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</si>
  <si>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</si>
  <si>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</si>
  <si>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</si>
  <si>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</si>
  <si>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</si>
  <si>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</si>
  <si>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</si>
  <si>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</si>
  <si>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</si>
  <si>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</si>
  <si>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</si>
  <si>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</si>
  <si>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</si>
  <si>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</si>
  <si>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</si>
  <si>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</si>
  <si>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</si>
  <si>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</si>
  <si>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</si>
  <si>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</si>
  <si>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</si>
  <si>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</si>
  <si>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</si>
  <si>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</si>
  <si>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</si>
  <si>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</si>
  <si>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</si>
  <si>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</si>
  <si>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</si>
  <si>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</si>
  <si>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</si>
  <si>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</si>
  <si>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</si>
  <si>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</si>
  <si>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</si>
  <si>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</si>
  <si>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</si>
  <si>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</si>
  <si>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</si>
  <si>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</si>
  <si>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</si>
  <si>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</si>
  <si>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</si>
  <si>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</si>
  <si>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</si>
  <si>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</si>
  <si>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指導内容</t>
  </si>
  <si>
    <t>小1　3月　【S2】　指導ユニット　モジュール（現学年・ステップ）配当計画</t>
  </si>
  <si>
    <t>国語　b</t>
  </si>
  <si>
    <t>にているかん字</t>
  </si>
  <si>
    <t>現学年</t>
  </si>
  <si>
    <t>a</t>
  </si>
  <si>
    <t>だってだってのおばあさん</t>
  </si>
  <si>
    <t>b</t>
  </si>
  <si>
    <t>国　語</t>
  </si>
  <si>
    <t>いいこといっぱい、一年生</t>
  </si>
  <si>
    <t>c</t>
  </si>
  <si>
    <t>算　数</t>
  </si>
  <si>
    <t>d</t>
  </si>
  <si>
    <t>数　学</t>
  </si>
  <si>
    <t>e</t>
  </si>
  <si>
    <t>理　科</t>
  </si>
  <si>
    <t>f</t>
  </si>
  <si>
    <t>社　会</t>
  </si>
  <si>
    <t>g</t>
  </si>
  <si>
    <t>図　工</t>
  </si>
  <si>
    <t>h</t>
  </si>
  <si>
    <t>音　楽</t>
  </si>
  <si>
    <t>小計【現学年】</t>
  </si>
  <si>
    <t>i</t>
  </si>
  <si>
    <t>家庭科</t>
  </si>
  <si>
    <t>ステップ</t>
  </si>
  <si>
    <t>j</t>
  </si>
  <si>
    <t>体　育</t>
  </si>
  <si>
    <t>k</t>
  </si>
  <si>
    <t>生活科</t>
  </si>
  <si>
    <t>l</t>
  </si>
  <si>
    <t>小計【ステップ】</t>
  </si>
  <si>
    <t>国語　モジュール　合計</t>
  </si>
  <si>
    <t>現</t>
  </si>
  <si>
    <t>入力用（半角入力）</t>
  </si>
  <si>
    <t>算数　c　  数学  d</t>
  </si>
  <si>
    <t>おおい ほう すくない ほう</t>
  </si>
  <si>
    <t>ス</t>
  </si>
  <si>
    <t>もののいち</t>
  </si>
  <si>
    <t>大きさくらべ(2)</t>
  </si>
  <si>
    <t>もうすぐ2年生</t>
  </si>
  <si>
    <t>たすのかな ひくのかな</t>
  </si>
  <si>
    <t>なんばんめ</t>
  </si>
  <si>
    <t>大きさくらべ(1)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</si>
  <si>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</si>
  <si>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</si>
  <si>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</si>
  <si>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</si>
  <si>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学習用具・教科用語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</si>
  <si>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</si>
  <si>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</si>
  <si>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</si>
  <si>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</si>
  <si>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</si>
  <si>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</si>
  <si>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</si>
  <si>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</si>
  <si>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</si>
  <si>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</si>
  <si>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</si>
  <si>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</si>
  <si>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</si>
  <si>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</si>
  <si>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</si>
  <si>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</si>
  <si>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</si>
  <si>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</si>
  <si>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</si>
  <si>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</si>
  <si>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3月　【S3】　指導ユニット　モジュール（現学年・ステップ）配当計画</t>
  </si>
  <si>
    <t>36 (ス-16 現-20)</t>
  </si>
  <si>
    <t>24 (ス-10 現-14)</t>
  </si>
  <si>
    <t>48 (ス-21 現-27)</t>
  </si>
  <si>
    <t>小1　3月　【S4】　指導ユニット　モジュール（現学年・ステップ）配当計画</t>
  </si>
  <si>
    <t>24 (ス-6 現-18)</t>
  </si>
  <si>
    <t>16 (ス-3 現-13)</t>
  </si>
  <si>
    <t>32 (ス-8 現-24)</t>
  </si>
  <si>
    <t>小2　3月　【S2】　指導ユニット　モジュール（現学年・ステップ）配当計画</t>
  </si>
  <si>
    <t>ことばを楽しもう</t>
  </si>
  <si>
    <t>楽しかったよ、二年生</t>
  </si>
  <si>
    <t>はんたいのいみのことば</t>
  </si>
  <si>
    <t>早口言葉（小1）</t>
  </si>
  <si>
    <t>思い出して書こう（小1）</t>
  </si>
  <si>
    <t>はんたいの ことば（小1）</t>
  </si>
  <si>
    <t>はこの 形</t>
  </si>
  <si>
    <t>何番目</t>
  </si>
  <si>
    <t>分数</t>
  </si>
  <si>
    <t>もうすぐ3年生</t>
  </si>
  <si>
    <t>いろいろな かたち（小1）</t>
  </si>
  <si>
    <t>もののいち（小1）</t>
  </si>
  <si>
    <t/>
  </si>
  <si>
    <t>小2　3月　【S3】　指導ユニット　モジュール（現学年・ステップ）配当計画</t>
  </si>
  <si>
    <t>小2　3月　【S4】　指導ユニット　モジュール（現学年・ステップ）配当計画</t>
  </si>
  <si>
    <t>小3　3月　【S2】　指導ユニット　モジュール（現学年・ステップ）配当計画</t>
  </si>
  <si>
    <t>漢字の広場⑥</t>
  </si>
  <si>
    <t>モチモチの木</t>
  </si>
  <si>
    <t>わたしの三大ニュース</t>
  </si>
  <si>
    <t>「　」と『　』のちがい</t>
  </si>
  <si>
    <t>スーホの白い馬（小2）</t>
  </si>
  <si>
    <t>つなぎことば・こそあどことば（小2）</t>
  </si>
  <si>
    <t>はじめ・中・おわり（小2）</t>
  </si>
  <si>
    <t>「丸、点、かぎ」（小2）</t>
  </si>
  <si>
    <t>間の数</t>
  </si>
  <si>
    <t>□をつかった式</t>
  </si>
  <si>
    <t>もうすぐ4年生</t>
  </si>
  <si>
    <t>かくれた 数は いくつ（小2）</t>
  </si>
  <si>
    <t>どんな計算になるかな(1)（小2）</t>
  </si>
  <si>
    <t>かわってきた人々のくらし</t>
  </si>
  <si>
    <t>理科・社会</t>
  </si>
  <si>
    <t>じしゃくのふしぎをしらべよう</t>
  </si>
  <si>
    <t>32 (ス-19 現-13)</t>
  </si>
  <si>
    <t>８モジュール（ステップ－４：現学年－４）</t>
  </si>
  <si>
    <t>60 (ス-35 現-25)</t>
  </si>
  <si>
    <t>小3　3月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</si>
  <si>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</si>
  <si>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</si>
  <si>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</si>
  <si>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小3　3月　【S4】　指導ユニット　モジュール（現学年・ステップ）配当計画</t>
  </si>
  <si>
    <t>小4　3月　【S2】　指導ユニット　モジュール（現学年・ステップ）配当計画</t>
  </si>
  <si>
    <t>まちがえやすい漢字</t>
  </si>
  <si>
    <t>初雪のふる日</t>
  </si>
  <si>
    <t>十年後のわたしへ</t>
  </si>
  <si>
    <t>動詞の働き・種類・形の変化</t>
  </si>
  <si>
    <t>漢字の音と訓（小3）</t>
  </si>
  <si>
    <t>もうすぐ雨に（小3）</t>
  </si>
  <si>
    <t>直方体と立方体</t>
  </si>
  <si>
    <t>だれでしょう</t>
  </si>
  <si>
    <t>もうすぐ5年生</t>
  </si>
  <si>
    <t>三角形と四角形（小2）</t>
  </si>
  <si>
    <t>はこの形（小2）</t>
  </si>
  <si>
    <t>わたしたちの県</t>
  </si>
  <si>
    <t>自然の中の水</t>
  </si>
  <si>
    <t>小4　3月　【S3】　指導ユニット　モジュール（現学年・ステップ）配当計画</t>
  </si>
  <si>
    <t>小4　3月　【S4】　指導ユニット　モジュール（現学年・ステップ）配当計画</t>
  </si>
  <si>
    <t>小5　3月　【S2】　指導ユニット　モジュール（現学年・ステップ）配当計画</t>
  </si>
  <si>
    <t>一まいの写真から</t>
  </si>
  <si>
    <t>六年生になったら</t>
  </si>
  <si>
    <t>単文・複文・重文</t>
  </si>
  <si>
    <t>たから島のぼうけん（3年）</t>
  </si>
  <si>
    <t>わたしの研究レポート（4年）</t>
  </si>
  <si>
    <t>文・文節（4年）</t>
  </si>
  <si>
    <t>主語と述語（2年）</t>
  </si>
  <si>
    <t>円と正多角形</t>
  </si>
  <si>
    <t>角柱と円柱</t>
  </si>
  <si>
    <t>変わり方</t>
  </si>
  <si>
    <t>もうすぐ６年生</t>
  </si>
  <si>
    <t>円と球（小3）</t>
  </si>
  <si>
    <t>直方体と立方体（小4）</t>
  </si>
  <si>
    <t>□をつかった式 （小3）</t>
  </si>
  <si>
    <t>世界とつながる日本</t>
  </si>
  <si>
    <t>ふりこの動き</t>
  </si>
  <si>
    <t>小5　3月　【S3】　指導ユニット　モジュール（現学年・ステップ）配当計画</t>
  </si>
  <si>
    <t>小5　3月　【S4】　指導ユニット　モジュール（現学年・ステップ）配当計画</t>
  </si>
  <si>
    <t>小6　3月　【S2】　指導ユニット　モジュール（現学年・ステップ）配当計画</t>
  </si>
  <si>
    <t>生きる</t>
  </si>
  <si>
    <t>生き物は かなえられた</t>
  </si>
  <si>
    <t>言葉の種類（形容詞・形容動詞）</t>
  </si>
  <si>
    <t>からたちの花（小5）</t>
  </si>
  <si>
    <t>生き物は円柱形（小5）</t>
  </si>
  <si>
    <t>形よう詞（小4）</t>
  </si>
  <si>
    <t>様子を表す言葉（小2）</t>
  </si>
  <si>
    <t>6年のまとめ</t>
  </si>
  <si>
    <t>数と量</t>
  </si>
  <si>
    <t>計算と見積もり</t>
  </si>
  <si>
    <t>図形</t>
  </si>
  <si>
    <t>数量の関係</t>
  </si>
  <si>
    <t>問題の見方・考え方</t>
  </si>
  <si>
    <t>世界の未来と日本の役割</t>
  </si>
  <si>
    <t>生物と地球環境</t>
  </si>
  <si>
    <t>小6　3月　【S3】　指導ユニット　モジュール（現学年・ステップ）配当計画</t>
  </si>
  <si>
    <t>小6　3月　【S4】　指導ユニット　モジュール（現学年・ステップ）配当計画</t>
  </si>
  <si>
    <t>中1　3月　【S2】　指導ユニット　モジュール（現学年・ステップ）配当計画</t>
  </si>
  <si>
    <t>ポスターセッション</t>
  </si>
  <si>
    <t>ぼくが　ここに</t>
  </si>
  <si>
    <t>言葉の単位</t>
  </si>
  <si>
    <t>文の組み立て</t>
  </si>
  <si>
    <t>単語の分類</t>
  </si>
  <si>
    <t>言葉を分類する（小3）</t>
  </si>
  <si>
    <t>文・文節（小4）</t>
  </si>
  <si>
    <t>単文・複文・重文（小5）</t>
  </si>
  <si>
    <t>資料の活用</t>
  </si>
  <si>
    <t>資料の調べ方（小6）</t>
  </si>
  <si>
    <t>復習</t>
  </si>
  <si>
    <t>世界から見た日本の自然環境</t>
  </si>
  <si>
    <t>算数/数学</t>
  </si>
  <si>
    <t>大地の変動</t>
  </si>
  <si>
    <t>中1　3月　【S3】　指導ユニット　モジュール（現学年・ステップ）配当計画</t>
  </si>
  <si>
    <t>中1　3月　【S4】　指導ユニット　モジュール（現学年・ステップ）配当計画</t>
  </si>
  <si>
    <t>中2　3月　【S2】　指導ユニット　モジュール（現学年・ステップ）配当計画</t>
  </si>
  <si>
    <t>国語学習の報告書</t>
  </si>
  <si>
    <t>鍵</t>
  </si>
  <si>
    <t>確立</t>
  </si>
  <si>
    <t>割合（小5）</t>
  </si>
  <si>
    <t>割合を使って（小5）</t>
  </si>
  <si>
    <t>身近な地域の調査</t>
  </si>
  <si>
    <t>日本の気象</t>
  </si>
  <si>
    <t>中2　3月　【S3】　指導ユニット　モジュール（現学年・ステップ）配当計画</t>
  </si>
  <si>
    <t>中2　3月　【S4】　指導ユニット　モジュール（現学年・ステップ）配当計画</t>
  </si>
  <si>
    <t>中3　3月　【S2】　指導ユニット　モジュール（現学年・ステップ）配当計画</t>
  </si>
  <si>
    <t>学びについて語り合う</t>
  </si>
  <si>
    <t>標本調査</t>
  </si>
  <si>
    <t>表とグラフ（小3）</t>
  </si>
  <si>
    <t>調べ方と整理のしかた（小4）</t>
  </si>
  <si>
    <t>変わり方 （小4）</t>
  </si>
  <si>
    <t>変わり方を調べて（小6）</t>
  </si>
  <si>
    <t>より良い社会を目指して</t>
  </si>
  <si>
    <t>これからのくらしを考えよう</t>
  </si>
  <si>
    <t>中3　3月　【S3】　指導ユニット　モジュール（現学年・ステップ）配当計画</t>
  </si>
  <si>
    <t>中3　3月　【S4】　指導ユニット　モジュール（現学年・ステップ）配当計画</t>
  </si>
  <si>
    <r>
      <rPr>
        <sz val="10.5"/>
        <rFont val="ＭＳ 明朝"/>
        <family val="2"/>
        <charset val="128"/>
      </rPr>
      <t>図工</t>
    </r>
    <r>
      <rPr>
        <sz val="10.5"/>
        <rFont val="ＭＳ 明朝"/>
        <family val="2"/>
        <charset val="128"/>
      </rPr>
      <t>・</t>
    </r>
    <r>
      <rPr>
        <sz val="10.5"/>
        <rFont val="ＭＳ 明朝"/>
        <family val="2"/>
        <charset val="128"/>
      </rPr>
      <t>音楽</t>
    </r>
    <r>
      <rPr>
        <sz val="10.5"/>
        <rFont val="ＭＳ 明朝"/>
        <family val="2"/>
        <charset val="128"/>
      </rPr>
      <t>・</t>
    </r>
    <r>
      <rPr>
        <sz val="10.5"/>
        <rFont val="ＭＳ 明朝"/>
        <family val="2"/>
        <charset val="128"/>
      </rPr>
      <t>体育</t>
    </r>
  </si>
  <si>
    <t>図工・音楽・体育・生活科</t>
  </si>
  <si>
    <t>図工・音楽・体育・(家庭科)</t>
    <phoneticPr fontId="51"/>
  </si>
  <si>
    <t>図工・音楽・体育</t>
  </si>
  <si>
    <t>● 岩倉日本語指導方式</t>
    <phoneticPr fontId="51"/>
  </si>
  <si>
    <t xml:space="preserve">  　標準 指導ユニット・モジュール（現学年・ステップ）配当計画　3月</t>
    <rPh sb="34" eb="35">
      <t>ガツ</t>
    </rPh>
    <phoneticPr fontId="51"/>
  </si>
  <si>
    <r>
      <t>　　　　　　　</t>
    </r>
    <r>
      <rPr>
        <sz val="13"/>
        <rFont val="ＤＦＰ教科書体W3"/>
        <family val="1"/>
        <charset val="128"/>
      </rPr>
      <t>ステップ指導内容　：　現在の学年学習内容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  <phoneticPr fontId="51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</si>
  <si>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51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</si>
  <si>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51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</si>
  <si>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51"/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</si>
  <si>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51"/>
  </si>
  <si>
    <t>20モジュール（ス－12：現－8）</t>
    <phoneticPr fontId="51"/>
  </si>
  <si>
    <t>9モジュール（ス－6：現－3）</t>
    <phoneticPr fontId="51"/>
  </si>
  <si>
    <t>3モジュール（ス－2：現－1）</t>
    <phoneticPr fontId="51"/>
  </si>
  <si>
    <t>32 (ス-20 現-12)</t>
    <phoneticPr fontId="51"/>
  </si>
  <si>
    <t>14モジュール（ス－6：現－8）</t>
    <phoneticPr fontId="51"/>
  </si>
  <si>
    <t>7モジュール（ス－3：現－4）</t>
    <phoneticPr fontId="51"/>
  </si>
  <si>
    <t>3モジュール（ス－1：現－2）</t>
    <phoneticPr fontId="51"/>
  </si>
  <si>
    <t>24 (ス-10 現-14)</t>
    <phoneticPr fontId="51"/>
  </si>
  <si>
    <t>9モジュール（ス－2：現－7）</t>
    <phoneticPr fontId="51"/>
  </si>
  <si>
    <t>5モジュール（ス－1：現－4）</t>
    <phoneticPr fontId="51"/>
  </si>
  <si>
    <t>2モジュール（ス－1：現－1）</t>
    <phoneticPr fontId="51"/>
  </si>
  <si>
    <t>16 (ス-3現-13)</t>
    <phoneticPr fontId="51"/>
  </si>
  <si>
    <t>18モジュール（ス－11：現－7）</t>
    <phoneticPr fontId="51"/>
  </si>
  <si>
    <t>8モジュール（ス－5：現－3）</t>
    <phoneticPr fontId="51"/>
  </si>
  <si>
    <t>4モジュール（ス－2：現－2）</t>
    <phoneticPr fontId="51"/>
  </si>
  <si>
    <t>32 (ス-19 現-13)</t>
    <phoneticPr fontId="51"/>
  </si>
  <si>
    <t>12モジュール（ス－5：現－7）</t>
    <phoneticPr fontId="51"/>
  </si>
  <si>
    <t>6モジュール（ス－2：現－4）</t>
    <phoneticPr fontId="51"/>
  </si>
  <si>
    <t>6モジュール（ス－1：現－5）</t>
    <phoneticPr fontId="51"/>
  </si>
  <si>
    <t>4モジュール（ス－1：現－3）</t>
    <phoneticPr fontId="51"/>
  </si>
  <si>
    <t>2モジュール（ス－0：現－2）</t>
    <phoneticPr fontId="51"/>
  </si>
  <si>
    <t>16 (ス-3 現-13)</t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</si>
</sst>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1" x14ac:knownFonts="1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b/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sz val="10.5"/>
      <name val="ＭＳ 明朝"/>
      <family val="2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明朝"/>
      <family val="1"/>
      <charset val="128"/>
    </font>
    <font>
      <b/>
      <sz val="20"/>
      <name val="ＤＦＰ教科書体W3"/>
      <family val="1"/>
      <charset val="128"/>
    </font>
    <font>
      <sz val="20"/>
      <name val="ＭＳ 明朝"/>
      <family val="1"/>
      <charset val="128"/>
    </font>
    <font>
      <b/>
      <sz val="14"/>
      <color rgb="FFFF9933"/>
      <name val="ＤＦＧ教科書体W3"/>
      <family val="1"/>
      <charset val="128"/>
    </font>
    <font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sz val="12"/>
      <name val="ＭＳ Ｐゴシック"/>
      <family val="3"/>
      <charset val="128"/>
    </font>
    <font>
      <sz val="12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b/>
      <sz val="14"/>
      <color rgb="FF008080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sz val="13"/>
      <name val="ＤＦＰ教科書体W3"/>
      <family val="1"/>
      <charset val="128"/>
    </font>
    <font>
      <b/>
      <sz val="13"/>
      <name val="ＤＦＰ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/>
      <right style="slantDashDot">
        <color theme="1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0" fillId="4" borderId="1" xfId="0" applyFill="1" applyBorder="1"/>
    <xf numFmtId="0" fontId="31" fillId="0" borderId="4" xfId="0" applyFont="1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4" xfId="0" applyBorder="1"/>
    <xf numFmtId="0" fontId="31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0" xfId="0" applyFont="1" applyBorder="1" applyAlignment="1">
      <alignment horizontal="center"/>
    </xf>
    <xf numFmtId="0" fontId="31" fillId="0" borderId="10" xfId="0" applyFont="1" applyBorder="1"/>
    <xf numFmtId="0" fontId="31" fillId="0" borderId="11" xfId="0" applyFont="1" applyBorder="1"/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2" fillId="8" borderId="1" xfId="0" applyFont="1" applyFill="1" applyBorder="1" applyAlignment="1">
      <alignment horizontal="center"/>
    </xf>
    <xf numFmtId="0" fontId="32" fillId="4" borderId="4" xfId="0" applyFont="1" applyFill="1" applyBorder="1"/>
    <xf numFmtId="0" fontId="32" fillId="3" borderId="4" xfId="0" applyFont="1" applyFill="1" applyBorder="1"/>
    <xf numFmtId="0" fontId="32" fillId="8" borderId="10" xfId="0" applyFont="1" applyFill="1" applyBorder="1" applyAlignment="1">
      <alignment horizontal="center"/>
    </xf>
    <xf numFmtId="0" fontId="32" fillId="4" borderId="11" xfId="0" applyFont="1" applyFill="1" applyBorder="1"/>
    <xf numFmtId="0" fontId="32" fillId="3" borderId="11" xfId="0" applyFont="1" applyFill="1" applyBorder="1"/>
    <xf numFmtId="0" fontId="32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1" xfId="0" applyFont="1" applyBorder="1" applyAlignment="1">
      <alignment horizontal="center"/>
    </xf>
    <xf numFmtId="0" fontId="0" fillId="0" borderId="12" xfId="0" applyBorder="1"/>
    <xf numFmtId="0" fontId="32" fillId="0" borderId="10" xfId="0" applyFont="1" applyBorder="1" applyAlignment="1">
      <alignment horizontal="center"/>
    </xf>
    <xf numFmtId="0" fontId="32" fillId="0" borderId="11" xfId="0" applyFont="1" applyBorder="1"/>
    <xf numFmtId="0" fontId="0" fillId="5" borderId="1" xfId="0" applyFill="1" applyBorder="1"/>
    <xf numFmtId="0" fontId="0" fillId="5" borderId="10" xfId="0" applyFill="1" applyBorder="1"/>
    <xf numFmtId="0" fontId="32" fillId="0" borderId="2" xfId="0" applyFont="1" applyBorder="1"/>
    <xf numFmtId="0" fontId="32" fillId="0" borderId="2" xfId="0" applyFont="1" applyBorder="1" applyAlignment="1">
      <alignment horizontal="left"/>
    </xf>
    <xf numFmtId="0" fontId="34" fillId="0" borderId="0" xfId="0" applyFont="1"/>
    <xf numFmtId="0" fontId="35" fillId="3" borderId="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5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32" fillId="9" borderId="4" xfId="0" applyFont="1" applyFill="1" applyBorder="1"/>
    <xf numFmtId="0" fontId="36" fillId="0" borderId="0" xfId="0" applyFont="1"/>
    <xf numFmtId="0" fontId="37" fillId="0" borderId="0" xfId="0" applyFont="1" applyAlignment="1">
      <alignment horizontal="center"/>
    </xf>
    <xf numFmtId="0" fontId="37" fillId="0" borderId="0" xfId="0" applyFont="1"/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6" fillId="4" borderId="1" xfId="0" applyFont="1" applyFill="1" applyBorder="1"/>
    <xf numFmtId="0" fontId="41" fillId="0" borderId="4" xfId="0" applyFont="1" applyBorder="1"/>
    <xf numFmtId="0" fontId="36" fillId="0" borderId="1" xfId="0" applyFont="1" applyBorder="1"/>
    <xf numFmtId="0" fontId="36" fillId="0" borderId="3" xfId="0" applyFont="1" applyBorder="1"/>
    <xf numFmtId="0" fontId="36" fillId="8" borderId="1" xfId="0" applyFont="1" applyFill="1" applyBorder="1" applyAlignment="1">
      <alignment horizontal="center"/>
    </xf>
    <xf numFmtId="0" fontId="36" fillId="0" borderId="4" xfId="0" applyFont="1" applyBorder="1"/>
    <xf numFmtId="0" fontId="41" fillId="0" borderId="0" xfId="0" applyFont="1" applyAlignment="1">
      <alignment horizontal="center"/>
    </xf>
    <xf numFmtId="0" fontId="36" fillId="4" borderId="10" xfId="0" applyFont="1" applyFill="1" applyBorder="1"/>
    <xf numFmtId="0" fontId="36" fillId="0" borderId="11" xfId="0" applyFont="1" applyBorder="1"/>
    <xf numFmtId="0" fontId="36" fillId="0" borderId="10" xfId="0" applyFont="1" applyBorder="1"/>
    <xf numFmtId="0" fontId="36" fillId="8" borderId="10" xfId="0" applyFont="1" applyFill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0" borderId="10" xfId="0" applyFont="1" applyBorder="1" applyAlignment="1">
      <alignment horizontal="center"/>
    </xf>
    <xf numFmtId="0" fontId="41" fillId="0" borderId="10" xfId="0" applyFont="1" applyBorder="1"/>
    <xf numFmtId="0" fontId="41" fillId="0" borderId="11" xfId="0" applyFont="1" applyBorder="1"/>
    <xf numFmtId="0" fontId="41" fillId="0" borderId="2" xfId="0" applyFont="1" applyBorder="1" applyAlignment="1">
      <alignment horizontal="center"/>
    </xf>
    <xf numFmtId="0" fontId="41" fillId="0" borderId="2" xfId="0" applyFont="1" applyBorder="1"/>
    <xf numFmtId="0" fontId="42" fillId="0" borderId="2" xfId="0" applyFont="1" applyBorder="1"/>
    <xf numFmtId="0" fontId="36" fillId="3" borderId="4" xfId="0" applyFont="1" applyFill="1" applyBorder="1" applyAlignment="1">
      <alignment horizontal="center"/>
    </xf>
    <xf numFmtId="0" fontId="36" fillId="3" borderId="1" xfId="0" applyFont="1" applyFill="1" applyBorder="1"/>
    <xf numFmtId="0" fontId="36" fillId="0" borderId="10" xfId="0" applyFont="1" applyBorder="1" applyAlignment="1">
      <alignment horizontal="center"/>
    </xf>
    <xf numFmtId="0" fontId="36" fillId="3" borderId="10" xfId="0" applyFont="1" applyFill="1" applyBorder="1"/>
    <xf numFmtId="0" fontId="36" fillId="3" borderId="11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36" fillId="3" borderId="11" xfId="0" applyFont="1" applyFill="1" applyBorder="1"/>
    <xf numFmtId="0" fontId="36" fillId="9" borderId="10" xfId="0" applyFont="1" applyFill="1" applyBorder="1" applyAlignment="1">
      <alignment horizontal="center"/>
    </xf>
    <xf numFmtId="0" fontId="36" fillId="9" borderId="11" xfId="0" applyFont="1" applyFill="1" applyBorder="1"/>
    <xf numFmtId="0" fontId="36" fillId="0" borderId="2" xfId="0" applyFont="1" applyBorder="1"/>
    <xf numFmtId="0" fontId="36" fillId="0" borderId="2" xfId="0" applyFont="1" applyBorder="1" applyAlignment="1">
      <alignment horizontal="left"/>
    </xf>
    <xf numFmtId="0" fontId="43" fillId="8" borderId="1" xfId="0" applyFont="1" applyFill="1" applyBorder="1" applyAlignment="1">
      <alignment horizontal="center"/>
    </xf>
    <xf numFmtId="0" fontId="43" fillId="4" borderId="4" xfId="0" applyFont="1" applyFill="1" applyBorder="1"/>
    <xf numFmtId="0" fontId="43" fillId="3" borderId="4" xfId="0" applyFont="1" applyFill="1" applyBorder="1"/>
    <xf numFmtId="0" fontId="43" fillId="0" borderId="1" xfId="0" applyFont="1" applyBorder="1" applyAlignment="1">
      <alignment horizontal="center"/>
    </xf>
    <xf numFmtId="0" fontId="43" fillId="0" borderId="4" xfId="0" applyFont="1" applyBorder="1"/>
    <xf numFmtId="0" fontId="43" fillId="8" borderId="10" xfId="0" applyFont="1" applyFill="1" applyBorder="1" applyAlignment="1">
      <alignment horizontal="center"/>
    </xf>
    <xf numFmtId="0" fontId="43" fillId="4" borderId="11" xfId="0" applyFont="1" applyFill="1" applyBorder="1"/>
    <xf numFmtId="0" fontId="43" fillId="3" borderId="11" xfId="0" applyFont="1" applyFill="1" applyBorder="1"/>
    <xf numFmtId="0" fontId="43" fillId="0" borderId="10" xfId="0" applyFont="1" applyBorder="1" applyAlignment="1">
      <alignment horizontal="center"/>
    </xf>
    <xf numFmtId="0" fontId="43" fillId="0" borderId="11" xfId="0" applyFont="1" applyBorder="1"/>
    <xf numFmtId="0" fontId="36" fillId="0" borderId="2" xfId="0" applyFont="1" applyBorder="1" applyAlignment="1">
      <alignment horizontal="center"/>
    </xf>
    <xf numFmtId="0" fontId="43" fillId="9" borderId="11" xfId="0" applyFont="1" applyFill="1" applyBorder="1"/>
    <xf numFmtId="0" fontId="36" fillId="0" borderId="3" xfId="0" applyFont="1" applyBorder="1" applyAlignment="1">
      <alignment vertical="center" wrapText="1"/>
    </xf>
    <xf numFmtId="0" fontId="43" fillId="0" borderId="4" xfId="0" applyFont="1" applyBorder="1" applyAlignment="1">
      <alignment horizontal="center"/>
    </xf>
    <xf numFmtId="0" fontId="36" fillId="0" borderId="12" xfId="0" applyFont="1" applyBorder="1"/>
    <xf numFmtId="0" fontId="36" fillId="5" borderId="1" xfId="0" applyFont="1" applyFill="1" applyBorder="1"/>
    <xf numFmtId="0" fontId="36" fillId="5" borderId="10" xfId="0" applyFont="1" applyFill="1" applyBorder="1"/>
    <xf numFmtId="0" fontId="43" fillId="0" borderId="2" xfId="0" applyFont="1" applyBorder="1"/>
    <xf numFmtId="0" fontId="43" fillId="0" borderId="2" xfId="0" applyFont="1" applyBorder="1" applyAlignment="1">
      <alignment horizontal="left"/>
    </xf>
    <xf numFmtId="0" fontId="45" fillId="0" borderId="0" xfId="0" applyFont="1"/>
    <xf numFmtId="0" fontId="46" fillId="0" borderId="0" xfId="0" applyFont="1"/>
    <xf numFmtId="0" fontId="50" fillId="3" borderId="1" xfId="0" applyFont="1" applyFill="1" applyBorder="1" applyAlignment="1">
      <alignment horizontal="center"/>
    </xf>
    <xf numFmtId="0" fontId="50" fillId="0" borderId="10" xfId="0" applyFont="1" applyBorder="1" applyAlignment="1">
      <alignment horizontal="center"/>
    </xf>
    <xf numFmtId="0" fontId="36" fillId="0" borderId="1" xfId="0" applyFont="1" applyBorder="1" applyAlignment="1">
      <alignment vertical="center" wrapText="1"/>
    </xf>
    <xf numFmtId="0" fontId="36" fillId="0" borderId="11" xfId="0" applyFont="1" applyBorder="1" applyAlignment="1">
      <alignment wrapText="1"/>
    </xf>
    <xf numFmtId="0" fontId="50" fillId="3" borderId="11" xfId="0" applyFont="1" applyFill="1" applyBorder="1" applyAlignment="1">
      <alignment horizontal="center"/>
    </xf>
    <xf numFmtId="0" fontId="36" fillId="10" borderId="1" xfId="0" applyFont="1" applyFill="1" applyBorder="1"/>
    <xf numFmtId="0" fontId="36" fillId="0" borderId="1" xfId="0" applyFont="1" applyBorder="1" applyAlignment="1">
      <alignment horizontal="center"/>
    </xf>
    <xf numFmtId="0" fontId="52" fillId="0" borderId="0" xfId="0" applyFont="1" applyAlignment="1">
      <alignment vertical="center" shrinkToFit="1"/>
    </xf>
    <xf numFmtId="0" fontId="52" fillId="0" borderId="0" xfId="0" applyFont="1" applyAlignment="1">
      <alignment horizontal="left" vertical="center" shrinkToFit="1"/>
    </xf>
    <xf numFmtId="0" fontId="52" fillId="0" borderId="0" xfId="0" applyFont="1" applyAlignment="1">
      <alignment shrinkToFit="1"/>
    </xf>
    <xf numFmtId="0" fontId="53" fillId="0" borderId="0" xfId="0" applyFont="1" applyAlignment="1">
      <alignment vertical="center" shrinkToFit="1"/>
    </xf>
    <xf numFmtId="0" fontId="52" fillId="0" borderId="0" xfId="0" applyFont="1"/>
    <xf numFmtId="0" fontId="54" fillId="0" borderId="0" xfId="0" applyFont="1" applyAlignment="1">
      <alignment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0" xfId="0" applyFont="1" applyBorder="1" applyAlignment="1">
      <alignment vertical="center" shrinkToFit="1"/>
    </xf>
    <xf numFmtId="0" fontId="54" fillId="0" borderId="0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vertical="center" shrinkToFit="1"/>
    </xf>
    <xf numFmtId="0" fontId="59" fillId="0" borderId="0" xfId="0" applyFont="1" applyAlignment="1">
      <alignment horizontal="center" vertical="center" shrinkToFit="1"/>
    </xf>
    <xf numFmtId="0" fontId="60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63" fillId="0" borderId="0" xfId="0" applyFont="1" applyAlignment="1">
      <alignment vertical="center"/>
    </xf>
    <xf numFmtId="0" fontId="61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 shrinkToFit="1"/>
    </xf>
    <xf numFmtId="0" fontId="58" fillId="0" borderId="0" xfId="0" applyFont="1" applyBorder="1" applyAlignment="1">
      <alignment horizontal="left" vertical="center" shrinkToFit="1"/>
    </xf>
    <xf numFmtId="0" fontId="64" fillId="0" borderId="0" xfId="0" applyFont="1" applyAlignment="1">
      <alignment vertical="center"/>
    </xf>
    <xf numFmtId="0" fontId="65" fillId="0" borderId="0" xfId="0" applyFont="1" applyAlignment="1">
      <alignment vertical="center"/>
    </xf>
    <xf numFmtId="0" fontId="53" fillId="0" borderId="0" xfId="0" applyFont="1" applyAlignment="1">
      <alignment shrinkToFit="1"/>
    </xf>
    <xf numFmtId="0" fontId="53" fillId="0" borderId="0" xfId="0" applyFont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66" fillId="0" borderId="0" xfId="0" applyFont="1" applyAlignment="1">
      <alignment vertical="center" shrinkToFit="1"/>
    </xf>
    <xf numFmtId="0" fontId="68" fillId="7" borderId="1" xfId="0" applyFont="1" applyFill="1" applyBorder="1" applyAlignment="1">
      <alignment horizontal="center" shrinkToFit="1"/>
    </xf>
    <xf numFmtId="0" fontId="52" fillId="0" borderId="3" xfId="0" applyFont="1" applyBorder="1"/>
    <xf numFmtId="0" fontId="69" fillId="7" borderId="1" xfId="0" applyFont="1" applyFill="1" applyBorder="1" applyAlignment="1">
      <alignment horizontal="center" shrinkToFit="1"/>
    </xf>
    <xf numFmtId="0" fontId="69" fillId="0" borderId="1" xfId="0" applyFont="1" applyBorder="1" applyAlignment="1">
      <alignment horizontal="center" vertical="center" shrinkToFit="1"/>
    </xf>
    <xf numFmtId="0" fontId="69" fillId="0" borderId="4" xfId="0" applyFont="1" applyBorder="1" applyAlignment="1">
      <alignment vertical="center" shrinkToFit="1"/>
    </xf>
    <xf numFmtId="0" fontId="69" fillId="7" borderId="10" xfId="0" applyFont="1" applyFill="1" applyBorder="1" applyAlignment="1">
      <alignment horizontal="center" shrinkToFit="1"/>
    </xf>
    <xf numFmtId="0" fontId="69" fillId="0" borderId="10" xfId="0" applyFont="1" applyBorder="1" applyAlignment="1">
      <alignment horizontal="center" vertical="center" shrinkToFit="1"/>
    </xf>
    <xf numFmtId="0" fontId="69" fillId="0" borderId="11" xfId="0" applyFont="1" applyBorder="1" applyAlignment="1">
      <alignment vertical="center" shrinkToFit="1"/>
    </xf>
    <xf numFmtId="0" fontId="69" fillId="0" borderId="2" xfId="0" applyFont="1" applyBorder="1" applyAlignment="1">
      <alignment horizontal="center" shrinkToFit="1"/>
    </xf>
    <xf numFmtId="0" fontId="52" fillId="0" borderId="1" xfId="0" applyFont="1" applyBorder="1" applyAlignment="1">
      <alignment shrinkToFit="1"/>
    </xf>
    <xf numFmtId="0" fontId="52" fillId="0" borderId="2" xfId="0" applyFont="1" applyBorder="1" applyAlignment="1">
      <alignment shrinkToFit="1"/>
    </xf>
    <xf numFmtId="0" fontId="52" fillId="0" borderId="3" xfId="0" applyFont="1" applyBorder="1" applyAlignment="1">
      <alignment shrinkToFit="1"/>
    </xf>
    <xf numFmtId="0" fontId="52" fillId="0" borderId="0" xfId="0" applyFont="1" applyAlignment="1">
      <alignment horizontal="left" shrinkToFit="1"/>
    </xf>
    <xf numFmtId="0" fontId="69" fillId="0" borderId="2" xfId="0" applyFont="1" applyBorder="1" applyAlignment="1">
      <alignment horizontal="center" vertical="center" shrinkToFit="1"/>
    </xf>
    <xf numFmtId="0" fontId="69" fillId="0" borderId="2" xfId="0" applyFont="1" applyBorder="1" applyAlignment="1">
      <alignment vertical="center" shrinkToFit="1"/>
    </xf>
    <xf numFmtId="0" fontId="69" fillId="0" borderId="0" xfId="0" applyFont="1" applyAlignment="1">
      <alignment horizontal="center" vertical="center" shrinkToFit="1"/>
    </xf>
    <xf numFmtId="0" fontId="70" fillId="0" borderId="0" xfId="0" applyFont="1" applyAlignment="1">
      <alignment vertical="center" shrinkToFit="1"/>
    </xf>
    <xf numFmtId="0" fontId="69" fillId="0" borderId="0" xfId="0" applyFont="1" applyAlignment="1">
      <alignment vertical="center" shrinkToFit="1"/>
    </xf>
    <xf numFmtId="0" fontId="53" fillId="0" borderId="2" xfId="0" applyFont="1" applyBorder="1" applyAlignment="1">
      <alignment shrinkToFit="1"/>
    </xf>
    <xf numFmtId="0" fontId="53" fillId="0" borderId="2" xfId="0" applyFont="1" applyBorder="1" applyAlignment="1">
      <alignment horizontal="center" vertical="center" shrinkToFit="1"/>
    </xf>
    <xf numFmtId="0" fontId="53" fillId="0" borderId="2" xfId="0" applyFont="1" applyBorder="1" applyAlignment="1">
      <alignment vertical="center" shrinkToFit="1"/>
    </xf>
    <xf numFmtId="0" fontId="53" fillId="0" borderId="2" xfId="0" applyFont="1" applyBorder="1" applyAlignment="1">
      <alignment horizontal="left" vertical="center" shrinkToFit="1"/>
    </xf>
    <xf numFmtId="0" fontId="69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67" fillId="0" borderId="0" xfId="0" applyFont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69" fillId="3" borderId="1" xfId="0" applyFont="1" applyFill="1" applyBorder="1" applyAlignment="1">
      <alignment horizontal="center" vertical="center" shrinkToFit="1"/>
    </xf>
    <xf numFmtId="0" fontId="53" fillId="3" borderId="4" xfId="0" applyFont="1" applyFill="1" applyBorder="1" applyAlignment="1">
      <alignment horizontal="center" vertical="center" shrinkToFit="1"/>
    </xf>
    <xf numFmtId="0" fontId="53" fillId="0" borderId="4" xfId="0" applyFont="1" applyBorder="1" applyAlignment="1">
      <alignment vertical="center" shrinkToFit="1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61" fillId="3" borderId="1" xfId="0" applyFont="1" applyFill="1" applyBorder="1" applyAlignment="1">
      <alignment horizontal="center" vertical="center"/>
    </xf>
    <xf numFmtId="0" fontId="58" fillId="0" borderId="4" xfId="0" applyFont="1" applyBorder="1" applyAlignment="1">
      <alignment vertical="center"/>
    </xf>
    <xf numFmtId="0" fontId="58" fillId="0" borderId="4" xfId="0" applyFont="1" applyBorder="1" applyAlignment="1">
      <alignment horizontal="left" vertical="center"/>
    </xf>
    <xf numFmtId="0" fontId="62" fillId="3" borderId="18" xfId="0" applyFont="1" applyFill="1" applyBorder="1" applyAlignment="1">
      <alignment horizontal="center" vertical="center"/>
    </xf>
    <xf numFmtId="0" fontId="58" fillId="0" borderId="19" xfId="0" applyFont="1" applyBorder="1" applyAlignment="1">
      <alignment vertical="center"/>
    </xf>
    <xf numFmtId="0" fontId="58" fillId="0" borderId="20" xfId="0" applyFont="1" applyBorder="1" applyAlignment="1">
      <alignment vertical="center"/>
    </xf>
    <xf numFmtId="0" fontId="61" fillId="0" borderId="21" xfId="0" applyFont="1" applyBorder="1" applyAlignment="1">
      <alignment horizontal="center" vertical="center" shrinkToFit="1"/>
    </xf>
    <xf numFmtId="0" fontId="58" fillId="0" borderId="22" xfId="0" applyFont="1" applyBorder="1" applyAlignment="1">
      <alignment vertical="center" shrinkToFit="1"/>
    </xf>
    <xf numFmtId="0" fontId="58" fillId="0" borderId="22" xfId="0" applyFont="1" applyBorder="1" applyAlignment="1">
      <alignment horizontal="left" vertical="center" shrinkToFit="1"/>
    </xf>
    <xf numFmtId="0" fontId="58" fillId="0" borderId="23" xfId="0" applyFont="1" applyBorder="1" applyAlignment="1">
      <alignment horizontal="left" vertical="center" shrinkToFit="1"/>
    </xf>
    <xf numFmtId="0" fontId="62" fillId="0" borderId="21" xfId="0" applyFont="1" applyBorder="1" applyAlignment="1">
      <alignment horizontal="center" vertical="center"/>
    </xf>
    <xf numFmtId="0" fontId="58" fillId="0" borderId="24" xfId="0" applyFont="1" applyBorder="1" applyAlignment="1">
      <alignment vertical="center"/>
    </xf>
    <xf numFmtId="0" fontId="58" fillId="0" borderId="25" xfId="0" applyFont="1" applyBorder="1" applyAlignment="1">
      <alignment vertical="center"/>
    </xf>
    <xf numFmtId="0" fontId="61" fillId="0" borderId="27" xfId="0" applyFont="1" applyBorder="1" applyAlignment="1">
      <alignment horizontal="center" vertical="center" shrinkToFit="1"/>
    </xf>
    <xf numFmtId="0" fontId="58" fillId="0" borderId="27" xfId="0" applyFont="1" applyBorder="1" applyAlignment="1">
      <alignment vertical="center" shrinkToFit="1"/>
    </xf>
    <xf numFmtId="0" fontId="58" fillId="0" borderId="27" xfId="0" applyFont="1" applyBorder="1" applyAlignment="1">
      <alignment horizontal="left" vertical="center" shrinkToFit="1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vertical="center" wrapText="1"/>
    </xf>
    <xf numFmtId="0" fontId="29" fillId="5" borderId="1" xfId="0" applyFont="1" applyFill="1" applyBorder="1" applyAlignment="1">
      <alignment horizontal="center"/>
    </xf>
    <xf numFmtId="0" fontId="29" fillId="5" borderId="4" xfId="0" applyFont="1" applyFill="1" applyBorder="1"/>
    <xf numFmtId="0" fontId="29" fillId="5" borderId="4" xfId="0" applyFont="1" applyFill="1" applyBorder="1" applyAlignment="1">
      <alignment horizontal="left"/>
    </xf>
    <xf numFmtId="0" fontId="33" fillId="0" borderId="10" xfId="0" applyFont="1" applyBorder="1"/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6" fillId="0" borderId="0" xfId="0" applyFont="1"/>
    <xf numFmtId="0" fontId="36" fillId="0" borderId="1" xfId="0" applyFont="1" applyBorder="1" applyAlignment="1">
      <alignment horizontal="center" vertical="center" wrapText="1"/>
    </xf>
    <xf numFmtId="0" fontId="36" fillId="0" borderId="10" xfId="0" applyFont="1" applyBorder="1"/>
    <xf numFmtId="0" fontId="36" fillId="0" borderId="1" xfId="0" applyFont="1" applyBorder="1" applyAlignment="1">
      <alignment vertical="center" wrapText="1"/>
    </xf>
    <xf numFmtId="0" fontId="38" fillId="5" borderId="1" xfId="0" applyFont="1" applyFill="1" applyBorder="1" applyAlignment="1">
      <alignment horizontal="center"/>
    </xf>
    <xf numFmtId="0" fontId="38" fillId="5" borderId="4" xfId="0" applyFont="1" applyFill="1" applyBorder="1"/>
    <xf numFmtId="0" fontId="38" fillId="5" borderId="4" xfId="0" applyFont="1" applyFill="1" applyBorder="1" applyAlignment="1">
      <alignment horizontal="left"/>
    </xf>
    <xf numFmtId="0" fontId="44" fillId="0" borderId="10" xfId="0" applyFont="1" applyBorder="1"/>
    <xf numFmtId="0" fontId="47" fillId="0" borderId="1" xfId="0" applyFont="1" applyBorder="1" applyAlignment="1">
      <alignment horizontal="center"/>
    </xf>
    <xf numFmtId="0" fontId="36" fillId="0" borderId="4" xfId="0" applyFont="1" applyBorder="1"/>
    <xf numFmtId="0" fontId="48" fillId="5" borderId="1" xfId="0" applyFont="1" applyFill="1" applyBorder="1" applyAlignment="1">
      <alignment horizontal="center"/>
    </xf>
    <xf numFmtId="0" fontId="36" fillId="0" borderId="4" xfId="0" applyFont="1" applyBorder="1" applyAlignment="1">
      <alignment horizontal="left"/>
    </xf>
    <xf numFmtId="0" fontId="48" fillId="0" borderId="1" xfId="0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36" fillId="0" borderId="11" xfId="0" applyFont="1" applyBorder="1"/>
    <xf numFmtId="0" fontId="36" fillId="0" borderId="11" xfId="0" applyFont="1" applyBorder="1" applyAlignment="1">
      <alignment horizontal="left"/>
    </xf>
    <xf numFmtId="0" fontId="36" fillId="0" borderId="1" xfId="0" applyFont="1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2" fillId="0" borderId="0" xfId="0" applyFont="1" applyBorder="1" applyAlignment="1">
      <alignment horizontal="center" vertical="center" shrinkToFit="1"/>
    </xf>
    <xf numFmtId="0" fontId="61" fillId="4" borderId="26" xfId="0" applyFont="1" applyFill="1" applyBorder="1" applyAlignment="1">
      <alignment horizontal="center" vertical="center" shrinkToFit="1"/>
    </xf>
    <xf numFmtId="0" fontId="58" fillId="0" borderId="26" xfId="0" applyFont="1" applyBorder="1" applyAlignment="1">
      <alignment vertical="center" shrinkToFit="1"/>
    </xf>
    <xf numFmtId="0" fontId="58" fillId="0" borderId="26" xfId="0" applyFont="1" applyBorder="1" applyAlignment="1">
      <alignment horizontal="left" vertical="center" shrinkToFit="1"/>
    </xf>
    <xf numFmtId="0" fontId="62" fillId="3" borderId="26" xfId="0" applyFont="1" applyFill="1" applyBorder="1" applyAlignment="1">
      <alignment horizontal="center" vertical="center" shrinkToFit="1"/>
    </xf>
    <xf numFmtId="0" fontId="62" fillId="0" borderId="27" xfId="0" applyFont="1" applyBorder="1" applyAlignment="1">
      <alignment horizontal="center" vertical="center" shrinkToFit="1"/>
    </xf>
    <xf numFmtId="0" fontId="61" fillId="5" borderId="18" xfId="0" applyFont="1" applyFill="1" applyBorder="1" applyAlignment="1">
      <alignment horizontal="center" vertical="center" shrinkToFit="1"/>
    </xf>
    <xf numFmtId="0" fontId="58" fillId="0" borderId="28" xfId="0" applyFont="1" applyBorder="1" applyAlignment="1">
      <alignment vertical="center" shrinkToFit="1"/>
    </xf>
    <xf numFmtId="0" fontId="58" fillId="0" borderId="28" xfId="0" applyFont="1" applyBorder="1" applyAlignment="1">
      <alignment horizontal="left" vertical="center" shrinkToFit="1"/>
    </xf>
    <xf numFmtId="0" fontId="62" fillId="3" borderId="18" xfId="0" applyFont="1" applyFill="1" applyBorder="1" applyAlignment="1">
      <alignment horizontal="center" vertical="center" shrinkToFit="1"/>
    </xf>
    <xf numFmtId="0" fontId="58" fillId="0" borderId="19" xfId="0" applyFont="1" applyBorder="1" applyAlignment="1">
      <alignment vertical="center" shrinkToFit="1"/>
    </xf>
    <xf numFmtId="0" fontId="58" fillId="0" borderId="20" xfId="0" applyFont="1" applyBorder="1" applyAlignment="1">
      <alignment vertical="center" shrinkToFit="1"/>
    </xf>
    <xf numFmtId="0" fontId="62" fillId="0" borderId="21" xfId="0" applyFont="1" applyBorder="1" applyAlignment="1">
      <alignment horizontal="center" vertical="center" shrinkToFit="1"/>
    </xf>
    <xf numFmtId="0" fontId="58" fillId="0" borderId="24" xfId="0" applyFont="1" applyBorder="1" applyAlignment="1">
      <alignment vertical="center" shrinkToFit="1"/>
    </xf>
    <xf numFmtId="0" fontId="58" fillId="0" borderId="25" xfId="0" applyFont="1" applyBorder="1" applyAlignment="1">
      <alignment vertical="center" shrinkToFit="1"/>
    </xf>
    <xf numFmtId="0" fontId="61" fillId="3" borderId="18" xfId="0" applyFont="1" applyFill="1" applyBorder="1" applyAlignment="1">
      <alignment horizontal="center" vertical="center" shrinkToFit="1"/>
    </xf>
    <xf numFmtId="0" fontId="58" fillId="3" borderId="28" xfId="0" applyFont="1" applyFill="1" applyBorder="1" applyAlignment="1">
      <alignment vertical="center" shrinkToFit="1"/>
    </xf>
    <xf numFmtId="0" fontId="58" fillId="3" borderId="28" xfId="0" applyFont="1" applyFill="1" applyBorder="1" applyAlignment="1">
      <alignment horizontal="left" vertical="center" shrinkToFit="1"/>
    </xf>
    <xf numFmtId="0" fontId="61" fillId="4" borderId="18" xfId="0" applyFont="1" applyFill="1" applyBorder="1" applyAlignment="1">
      <alignment horizontal="center" vertical="center" shrinkToFit="1"/>
    </xf>
    <xf numFmtId="0" fontId="61" fillId="4" borderId="28" xfId="0" applyFont="1" applyFill="1" applyBorder="1" applyAlignment="1">
      <alignment horizontal="center" vertical="center" shrinkToFit="1"/>
    </xf>
    <xf numFmtId="0" fontId="61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colorId="22" zoomScale="92" zoomScaleNormal="92" workbookViewId="0">
      <selection activeCell="E52" sqref="E52"/>
    </sheetView>
  </sheetViews>
  <sheetFormatPr defaultColWidth="10.85546875" defaultRowHeight="13.7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257" t="s">
        <v>3</v>
      </c>
      <c r="E8" s="258"/>
      <c r="F8" s="258"/>
      <c r="G8" s="258"/>
      <c r="H8" s="9"/>
    </row>
    <row r="9" spans="2:8" ht="14.65" customHeight="1" x14ac:dyDescent="0.15">
      <c r="B9" s="257" t="s">
        <v>4</v>
      </c>
      <c r="C9" s="259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257" t="s">
        <v>9</v>
      </c>
      <c r="C10" s="260"/>
      <c r="D10" s="10"/>
      <c r="E10" s="10"/>
      <c r="F10" s="10"/>
      <c r="G10" s="10"/>
      <c r="H10" s="9"/>
    </row>
    <row r="11" spans="2:8" ht="14.65" customHeight="1" x14ac:dyDescent="0.15">
      <c r="B11" s="261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262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262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 x14ac:dyDescent="0.15">
      <c r="B14" s="262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263" t="s">
        <v>24</v>
      </c>
      <c r="C15" s="260"/>
      <c r="D15" s="259"/>
      <c r="E15" s="259"/>
      <c r="F15" s="259"/>
      <c r="G15" s="259"/>
      <c r="H15" s="9"/>
    </row>
    <row r="16" spans="2:8" ht="14.65" customHeight="1" x14ac:dyDescent="0.15">
      <c r="B16" s="261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262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 x14ac:dyDescent="0.15">
      <c r="B18" s="262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 x14ac:dyDescent="0.15">
      <c r="B19" s="262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263" t="s">
        <v>24</v>
      </c>
      <c r="C20" s="260"/>
      <c r="D20" s="259"/>
      <c r="E20" s="259"/>
      <c r="F20" s="259"/>
      <c r="G20" s="259"/>
      <c r="H20" s="9"/>
    </row>
    <row r="21" spans="2:8" ht="14.65" customHeight="1" x14ac:dyDescent="0.15">
      <c r="B21" s="261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262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 x14ac:dyDescent="0.15">
      <c r="B23" s="262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264" t="s">
        <v>34</v>
      </c>
      <c r="C26" s="265"/>
      <c r="D26" s="266"/>
      <c r="E26" s="265"/>
      <c r="F26" s="265"/>
      <c r="G26" s="265"/>
      <c r="H26" s="23"/>
    </row>
    <row r="27" spans="2:8" ht="14.65" customHeight="1" x14ac:dyDescent="0.15">
      <c r="B27" s="267" t="s">
        <v>35</v>
      </c>
      <c r="C27" s="268"/>
      <c r="D27" s="269"/>
      <c r="E27" s="268"/>
      <c r="F27" s="268"/>
      <c r="G27" s="268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7.45" customHeight="1" x14ac:dyDescent="0.2">
      <c r="A36" s="29"/>
      <c r="B36" s="29" t="s">
        <v>41</v>
      </c>
      <c r="D36" s="25"/>
    </row>
    <row r="37" spans="1:8" ht="12.75" x14ac:dyDescent="0.15">
      <c r="D37" s="25"/>
    </row>
    <row r="38" spans="1:8" ht="14.25" x14ac:dyDescent="0.1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 x14ac:dyDescent="0.1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 x14ac:dyDescent="0.1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 x14ac:dyDescent="0.1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 x14ac:dyDescent="0.1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 x14ac:dyDescent="0.15">
      <c r="B43" s="18"/>
      <c r="C43" s="18"/>
      <c r="D43" s="19"/>
      <c r="E43" s="18"/>
      <c r="F43" s="18"/>
      <c r="G43" s="18"/>
    </row>
    <row r="44" spans="1:8" ht="14.25" x14ac:dyDescent="0.1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 x14ac:dyDescent="0.1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 x14ac:dyDescent="0.1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 x14ac:dyDescent="0.1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 x14ac:dyDescent="0.1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 x14ac:dyDescent="0.15">
      <c r="B49" s="18"/>
      <c r="C49" s="18"/>
      <c r="D49" s="19"/>
      <c r="E49" s="18"/>
      <c r="F49" s="18"/>
      <c r="G49" s="18"/>
    </row>
    <row r="50" spans="1:8" ht="14.25" x14ac:dyDescent="0.15">
      <c r="B50" s="30" t="s">
        <v>58</v>
      </c>
      <c r="C50" s="30" t="s">
        <v>59</v>
      </c>
      <c r="D50" s="30" t="s">
        <v>60</v>
      </c>
      <c r="E50" s="9"/>
    </row>
    <row r="51" spans="1:8" ht="14.25" x14ac:dyDescent="0.15">
      <c r="B51" s="32" t="s">
        <v>48</v>
      </c>
      <c r="C51" s="32" t="s">
        <v>48</v>
      </c>
      <c r="D51" s="32" t="s">
        <v>48</v>
      </c>
      <c r="E51" s="9"/>
    </row>
    <row r="52" spans="1:8" ht="14.25" x14ac:dyDescent="0.15">
      <c r="B52" s="34" t="s">
        <v>48</v>
      </c>
      <c r="C52" s="34" t="s">
        <v>48</v>
      </c>
      <c r="D52" s="34" t="s">
        <v>48</v>
      </c>
      <c r="E52" s="9"/>
    </row>
    <row r="53" spans="1:8" ht="14.25" x14ac:dyDescent="0.15">
      <c r="B53" s="34" t="s">
        <v>57</v>
      </c>
      <c r="C53" s="34" t="s">
        <v>57</v>
      </c>
      <c r="D53" s="34" t="s">
        <v>57</v>
      </c>
      <c r="E53" s="9"/>
    </row>
    <row r="54" spans="1:8" ht="14.25" x14ac:dyDescent="0.15">
      <c r="B54" s="34" t="s">
        <v>50</v>
      </c>
      <c r="C54" s="34" t="s">
        <v>50</v>
      </c>
      <c r="D54" s="34" t="s">
        <v>50</v>
      </c>
      <c r="E54" s="9"/>
    </row>
    <row r="55" spans="1:8" ht="12.75" x14ac:dyDescent="0.15">
      <c r="B55" s="18"/>
      <c r="C55" s="18"/>
      <c r="D55" s="19"/>
    </row>
    <row r="56" spans="1:8" ht="14.25" x14ac:dyDescent="0.15">
      <c r="B56" s="36"/>
      <c r="C56" s="36"/>
      <c r="D56" s="37"/>
    </row>
    <row r="57" spans="1:8" ht="17.45" customHeight="1" x14ac:dyDescent="0.2">
      <c r="A57" s="29"/>
      <c r="B57" s="29" t="s">
        <v>61</v>
      </c>
      <c r="D57" s="25"/>
    </row>
    <row r="58" spans="1:8" ht="12.75" x14ac:dyDescent="0.15">
      <c r="D58" s="25"/>
    </row>
    <row r="59" spans="1:8" ht="14.25" x14ac:dyDescent="0.1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 x14ac:dyDescent="0.1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 x14ac:dyDescent="0.1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 x14ac:dyDescent="0.1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 x14ac:dyDescent="0.1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 x14ac:dyDescent="0.15">
      <c r="B64" s="18"/>
      <c r="C64" s="18"/>
      <c r="D64" s="19"/>
      <c r="E64" s="18"/>
      <c r="F64" s="18"/>
      <c r="G64" s="18"/>
    </row>
    <row r="65" spans="1:8" ht="14.25" x14ac:dyDescent="0.1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 x14ac:dyDescent="0.1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 x14ac:dyDescent="0.1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 x14ac:dyDescent="0.1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 x14ac:dyDescent="0.1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 x14ac:dyDescent="0.15">
      <c r="B70" s="18"/>
      <c r="C70" s="18"/>
      <c r="D70" s="19"/>
      <c r="E70" s="18"/>
      <c r="F70" s="18"/>
      <c r="G70" s="18"/>
    </row>
    <row r="71" spans="1:8" ht="12.75" x14ac:dyDescent="0.15">
      <c r="D71" s="25"/>
    </row>
    <row r="72" spans="1:8" ht="17.45" customHeight="1" x14ac:dyDescent="0.2">
      <c r="A72" s="29"/>
      <c r="B72" s="29" t="s">
        <v>62</v>
      </c>
      <c r="D72" s="25"/>
    </row>
    <row r="73" spans="1:8" ht="12.75" x14ac:dyDescent="0.15">
      <c r="D73" s="25"/>
    </row>
    <row r="74" spans="1:8" ht="14.25" x14ac:dyDescent="0.1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 x14ac:dyDescent="0.1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 x14ac:dyDescent="0.1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 x14ac:dyDescent="0.1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 x14ac:dyDescent="0.1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 x14ac:dyDescent="0.15">
      <c r="B79" s="18"/>
      <c r="C79" s="18"/>
      <c r="D79" s="19"/>
      <c r="E79" s="18"/>
      <c r="F79" s="18"/>
      <c r="G79" s="18"/>
    </row>
    <row r="80" spans="1:8" ht="14.25" x14ac:dyDescent="0.1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 x14ac:dyDescent="0.1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 x14ac:dyDescent="0.1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 x14ac:dyDescent="0.1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 x14ac:dyDescent="0.1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 x14ac:dyDescent="0.15">
      <c r="B85" s="18"/>
      <c r="C85" s="18"/>
      <c r="D85" s="19"/>
      <c r="E85" s="18"/>
      <c r="F85" s="18"/>
      <c r="G85" s="18"/>
    </row>
    <row r="86" spans="2:8" ht="14.25" x14ac:dyDescent="0.1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 x14ac:dyDescent="0.1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 x14ac:dyDescent="0.1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 x14ac:dyDescent="0.1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 x14ac:dyDescent="0.1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 x14ac:dyDescent="0.15">
      <c r="B91" s="18"/>
      <c r="C91" s="18"/>
      <c r="D91" s="19"/>
      <c r="E91" s="18"/>
      <c r="F91" s="18"/>
      <c r="G91" s="18"/>
    </row>
    <row r="92" spans="2:8" ht="14.25" x14ac:dyDescent="0.15">
      <c r="B92" s="30" t="s">
        <v>66</v>
      </c>
      <c r="C92" s="30" t="s">
        <v>67</v>
      </c>
      <c r="D92" s="38"/>
    </row>
    <row r="93" spans="2:8" ht="14.25" x14ac:dyDescent="0.15">
      <c r="B93" s="32" t="s">
        <v>48</v>
      </c>
      <c r="C93" s="32" t="s">
        <v>48</v>
      </c>
      <c r="D93" s="38"/>
    </row>
    <row r="94" spans="2:8" ht="14.25" x14ac:dyDescent="0.15">
      <c r="B94" s="34" t="s">
        <v>48</v>
      </c>
      <c r="C94" s="34" t="s">
        <v>48</v>
      </c>
      <c r="D94" s="38"/>
    </row>
    <row r="95" spans="2:8" ht="14.25" x14ac:dyDescent="0.15">
      <c r="B95" s="34" t="s">
        <v>57</v>
      </c>
      <c r="C95" s="34" t="s">
        <v>57</v>
      </c>
      <c r="D95" s="38"/>
    </row>
    <row r="96" spans="2:8" ht="14.25" x14ac:dyDescent="0.15">
      <c r="B96" s="34" t="s">
        <v>50</v>
      </c>
      <c r="C96" s="34" t="s">
        <v>50</v>
      </c>
      <c r="D96" s="38"/>
    </row>
    <row r="97" spans="1:8" ht="12.75" x14ac:dyDescent="0.15">
      <c r="B97" s="18"/>
      <c r="C97" s="18"/>
      <c r="D97" s="25"/>
    </row>
    <row r="98" spans="1:8" ht="12.75" x14ac:dyDescent="0.15">
      <c r="D98" s="25"/>
    </row>
    <row r="99" spans="1:8" ht="14.25" x14ac:dyDescent="0.15">
      <c r="B99" s="39" t="s">
        <v>68</v>
      </c>
      <c r="C99" s="40" t="s">
        <v>69</v>
      </c>
      <c r="D99" s="40" t="s">
        <v>70</v>
      </c>
      <c r="E99" s="9"/>
    </row>
    <row r="100" spans="1:8" ht="14.25" x14ac:dyDescent="0.15">
      <c r="B100" s="41" t="s">
        <v>71</v>
      </c>
      <c r="C100" s="41" t="s">
        <v>72</v>
      </c>
      <c r="D100" s="41" t="s">
        <v>73</v>
      </c>
      <c r="E100" s="9"/>
    </row>
    <row r="101" spans="1:8" ht="14.25" x14ac:dyDescent="0.15">
      <c r="B101" s="42" t="s">
        <v>74</v>
      </c>
      <c r="C101" s="41" t="s">
        <v>75</v>
      </c>
      <c r="D101" s="41" t="s">
        <v>76</v>
      </c>
      <c r="E101" s="9"/>
    </row>
    <row r="102" spans="1:8" ht="14.25" x14ac:dyDescent="0.15">
      <c r="B102" s="42" t="s">
        <v>77</v>
      </c>
      <c r="C102" s="41" t="s">
        <v>78</v>
      </c>
      <c r="D102" s="41" t="s">
        <v>79</v>
      </c>
      <c r="E102" s="9"/>
    </row>
    <row r="103" spans="1:8" ht="12.75" x14ac:dyDescent="0.15">
      <c r="B103" s="18"/>
      <c r="C103" s="18"/>
      <c r="D103" s="19"/>
    </row>
    <row r="104" spans="1:8" ht="12.75" x14ac:dyDescent="0.15">
      <c r="D104" s="25"/>
    </row>
    <row r="105" spans="1:8" ht="12.75" x14ac:dyDescent="0.15">
      <c r="D105" s="25"/>
    </row>
    <row r="106" spans="1:8" ht="12.75" x14ac:dyDescent="0.15">
      <c r="D106" s="25"/>
    </row>
    <row r="107" spans="1:8" ht="12.75" x14ac:dyDescent="0.15">
      <c r="D107" s="25"/>
    </row>
    <row r="108" spans="1:8" ht="17.45" customHeight="1" x14ac:dyDescent="0.2">
      <c r="A108" s="43"/>
      <c r="B108" s="43" t="s">
        <v>80</v>
      </c>
      <c r="D108" s="25"/>
    </row>
    <row r="109" spans="1:8" ht="12.75" x14ac:dyDescent="0.15">
      <c r="D109" s="25"/>
    </row>
    <row r="110" spans="1:8" ht="14.25" x14ac:dyDescent="0.1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 x14ac:dyDescent="0.1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 x14ac:dyDescent="0.1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 x14ac:dyDescent="0.1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 x14ac:dyDescent="0.1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 x14ac:dyDescent="0.15">
      <c r="B115" s="18"/>
      <c r="C115" s="18"/>
      <c r="D115" s="19"/>
      <c r="E115" s="18"/>
      <c r="F115" s="18"/>
      <c r="G115" s="18"/>
    </row>
    <row r="116" spans="1:8" ht="14.25" x14ac:dyDescent="0.1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 x14ac:dyDescent="0.1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 x14ac:dyDescent="0.1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 x14ac:dyDescent="0.1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 x14ac:dyDescent="0.1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 x14ac:dyDescent="0.15">
      <c r="B121" s="46"/>
      <c r="C121" s="46"/>
      <c r="D121" s="46"/>
      <c r="E121" s="46"/>
      <c r="F121" s="46"/>
      <c r="G121" s="47"/>
    </row>
    <row r="122" spans="1:8" ht="12.75" x14ac:dyDescent="0.15">
      <c r="D122" s="25"/>
    </row>
    <row r="123" spans="1:8" ht="14.25" x14ac:dyDescent="0.1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 x14ac:dyDescent="0.1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 x14ac:dyDescent="0.15">
      <c r="B125" s="49"/>
      <c r="C125" s="49"/>
      <c r="D125" s="49"/>
      <c r="E125" s="49"/>
    </row>
    <row r="126" spans="1:8" ht="14.25" x14ac:dyDescent="0.15">
      <c r="B126" s="50"/>
      <c r="C126" s="50"/>
      <c r="D126" s="50"/>
      <c r="E126" s="50"/>
    </row>
    <row r="127" spans="1:8" ht="17.45" customHeight="1" x14ac:dyDescent="0.2">
      <c r="A127" s="43"/>
      <c r="B127" s="43" t="s">
        <v>95</v>
      </c>
      <c r="D127" s="25"/>
    </row>
    <row r="128" spans="1:8" ht="12.75" x14ac:dyDescent="0.15">
      <c r="D128" s="25"/>
    </row>
    <row r="129" spans="2:8" ht="14.25" x14ac:dyDescent="0.1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 x14ac:dyDescent="0.1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 x14ac:dyDescent="0.1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 x14ac:dyDescent="0.1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 x14ac:dyDescent="0.1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 x14ac:dyDescent="0.15">
      <c r="B134" s="18"/>
      <c r="C134" s="18"/>
      <c r="D134" s="19"/>
      <c r="E134" s="18"/>
      <c r="F134" s="18"/>
      <c r="G134" s="18"/>
    </row>
    <row r="135" spans="2:8" ht="14.25" x14ac:dyDescent="0.15">
      <c r="B135" s="44" t="s">
        <v>51</v>
      </c>
      <c r="C135" s="44" t="s">
        <v>52</v>
      </c>
      <c r="D135" s="9"/>
    </row>
    <row r="136" spans="2:8" ht="14.25" x14ac:dyDescent="0.15">
      <c r="B136" s="34" t="s">
        <v>81</v>
      </c>
      <c r="C136" s="34" t="s">
        <v>81</v>
      </c>
      <c r="D136" s="9"/>
    </row>
    <row r="137" spans="2:8" ht="14.25" x14ac:dyDescent="0.15">
      <c r="B137" s="34" t="s">
        <v>82</v>
      </c>
      <c r="C137" s="34" t="s">
        <v>82</v>
      </c>
      <c r="D137" s="9"/>
    </row>
    <row r="138" spans="2:8" ht="14.25" x14ac:dyDescent="0.15">
      <c r="B138" s="34" t="s">
        <v>87</v>
      </c>
      <c r="C138" s="34" t="s">
        <v>87</v>
      </c>
      <c r="D138" s="9"/>
    </row>
    <row r="139" spans="2:8" ht="14.25" x14ac:dyDescent="0.15">
      <c r="B139" s="34" t="s">
        <v>89</v>
      </c>
      <c r="C139" s="34" t="s">
        <v>89</v>
      </c>
      <c r="D139" s="9"/>
    </row>
    <row r="140" spans="2:8" ht="14.25" x14ac:dyDescent="0.15">
      <c r="B140" s="46"/>
      <c r="C140" s="46"/>
      <c r="D140" s="37"/>
      <c r="E140" s="37"/>
    </row>
    <row r="141" spans="2:8" ht="12.75" x14ac:dyDescent="0.15">
      <c r="D141" s="25"/>
    </row>
    <row r="142" spans="2:8" ht="14.25" x14ac:dyDescent="0.1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 x14ac:dyDescent="0.1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 x14ac:dyDescent="0.15">
      <c r="B144" s="18"/>
      <c r="C144" s="18"/>
      <c r="D144" s="19"/>
      <c r="E144" s="19"/>
    </row>
    <row r="145" spans="1:8" ht="17.45" customHeight="1" x14ac:dyDescent="0.2">
      <c r="A145" s="43"/>
      <c r="B145" s="43" t="s">
        <v>99</v>
      </c>
      <c r="D145" s="25"/>
    </row>
    <row r="146" spans="1:8" ht="12.75" x14ac:dyDescent="0.15">
      <c r="D146" s="25"/>
    </row>
    <row r="147" spans="1:8" ht="14.25" x14ac:dyDescent="0.1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 x14ac:dyDescent="0.1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 x14ac:dyDescent="0.1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 x14ac:dyDescent="0.1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 x14ac:dyDescent="0.1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 x14ac:dyDescent="0.15">
      <c r="B152" s="18"/>
      <c r="C152" s="18"/>
      <c r="D152" s="19"/>
      <c r="E152" s="18"/>
      <c r="F152" s="18"/>
      <c r="G152" s="18"/>
    </row>
    <row r="153" spans="1:8" ht="14.25" x14ac:dyDescent="0.1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 x14ac:dyDescent="0.1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 x14ac:dyDescent="0.1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 x14ac:dyDescent="0.1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 x14ac:dyDescent="0.1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 x14ac:dyDescent="0.15">
      <c r="B158" s="18"/>
      <c r="C158" s="18"/>
      <c r="D158" s="19"/>
      <c r="E158" s="18"/>
      <c r="F158" s="18"/>
      <c r="G158" s="18"/>
    </row>
    <row r="159" spans="1:8" ht="14.25" x14ac:dyDescent="0.15">
      <c r="B159" s="44" t="s">
        <v>58</v>
      </c>
      <c r="C159" s="44" t="s">
        <v>59</v>
      </c>
      <c r="D159" s="44" t="s">
        <v>60</v>
      </c>
      <c r="E159" s="9"/>
    </row>
    <row r="160" spans="1:8" ht="14.25" x14ac:dyDescent="0.15">
      <c r="B160" s="32" t="s">
        <v>81</v>
      </c>
      <c r="C160" s="32" t="s">
        <v>81</v>
      </c>
      <c r="D160" s="32" t="s">
        <v>81</v>
      </c>
      <c r="E160" s="9"/>
    </row>
    <row r="161" spans="2:6" ht="14.25" x14ac:dyDescent="0.15">
      <c r="B161" s="34" t="s">
        <v>81</v>
      </c>
      <c r="C161" s="34" t="s">
        <v>81</v>
      </c>
      <c r="D161" s="35" t="s">
        <v>82</v>
      </c>
      <c r="E161" s="9"/>
    </row>
    <row r="162" spans="2:6" ht="14.25" x14ac:dyDescent="0.15">
      <c r="B162" s="34" t="s">
        <v>87</v>
      </c>
      <c r="C162" s="34" t="s">
        <v>87</v>
      </c>
      <c r="D162" s="34" t="s">
        <v>84</v>
      </c>
      <c r="E162" s="9"/>
    </row>
    <row r="163" spans="2:6" ht="14.25" x14ac:dyDescent="0.15">
      <c r="B163" s="34" t="s">
        <v>86</v>
      </c>
      <c r="C163" s="34" t="s">
        <v>86</v>
      </c>
      <c r="D163" s="34" t="s">
        <v>89</v>
      </c>
      <c r="E163" s="9"/>
    </row>
    <row r="164" spans="2:6" ht="12.75" x14ac:dyDescent="0.15">
      <c r="B164" s="18"/>
      <c r="C164" s="18"/>
      <c r="D164" s="19"/>
    </row>
    <row r="165" spans="2:6" ht="12.75" x14ac:dyDescent="0.15">
      <c r="D165" s="25"/>
    </row>
    <row r="166" spans="2:6" ht="14.25" x14ac:dyDescent="0.1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 x14ac:dyDescent="0.1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 x14ac:dyDescent="0.15">
      <c r="B168" s="18"/>
      <c r="C168" s="18"/>
      <c r="D168" s="19"/>
      <c r="E168" s="18"/>
    </row>
    <row r="169" spans="2:6" ht="12.75" x14ac:dyDescent="0.15">
      <c r="D169" s="25"/>
    </row>
    <row r="170" spans="2:6" ht="12.75" x14ac:dyDescent="0.15">
      <c r="D170" s="25"/>
    </row>
    <row r="171" spans="2:6" ht="12.75" x14ac:dyDescent="0.15">
      <c r="D171" s="25"/>
    </row>
    <row r="172" spans="2:6" ht="12.75" x14ac:dyDescent="0.15">
      <c r="D172" s="25"/>
    </row>
    <row r="173" spans="2:6" ht="12.75" x14ac:dyDescent="0.15">
      <c r="D173" s="25"/>
    </row>
    <row r="174" spans="2:6" ht="12.75" x14ac:dyDescent="0.15">
      <c r="D174" s="25"/>
    </row>
    <row r="175" spans="2:6" ht="12.75" x14ac:dyDescent="0.15">
      <c r="D175" s="25"/>
    </row>
    <row r="176" spans="2:6" ht="12.75" x14ac:dyDescent="0.15">
      <c r="D176" s="25"/>
    </row>
    <row r="177" spans="1:8" ht="12.75" x14ac:dyDescent="0.15">
      <c r="D177" s="25"/>
    </row>
    <row r="178" spans="1:8" ht="12.75" x14ac:dyDescent="0.15">
      <c r="D178" s="25"/>
    </row>
    <row r="179" spans="1:8" ht="12.75" x14ac:dyDescent="0.15">
      <c r="D179" s="25"/>
    </row>
    <row r="180" spans="1:8" ht="17.45" customHeight="1" x14ac:dyDescent="0.2">
      <c r="A180" s="51"/>
      <c r="B180" s="51" t="s">
        <v>102</v>
      </c>
      <c r="D180" s="25"/>
    </row>
    <row r="181" spans="1:8" ht="14.25" x14ac:dyDescent="0.1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 x14ac:dyDescent="0.1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 x14ac:dyDescent="0.1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 x14ac:dyDescent="0.1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 x14ac:dyDescent="0.1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 x14ac:dyDescent="0.15">
      <c r="B186" s="18"/>
      <c r="C186" s="18"/>
      <c r="D186" s="19"/>
      <c r="E186" s="18"/>
      <c r="F186" s="18"/>
      <c r="G186" s="18"/>
    </row>
    <row r="187" spans="1:8" ht="14.25" x14ac:dyDescent="0.15">
      <c r="B187" s="52" t="s">
        <v>51</v>
      </c>
      <c r="C187" s="52" t="s">
        <v>52</v>
      </c>
      <c r="D187" s="52" t="s">
        <v>53</v>
      </c>
      <c r="E187" s="9"/>
    </row>
    <row r="188" spans="1:8" ht="14.25" x14ac:dyDescent="0.15">
      <c r="B188" s="32" t="s">
        <v>81</v>
      </c>
      <c r="C188" s="32" t="s">
        <v>81</v>
      </c>
      <c r="D188" s="32" t="s">
        <v>81</v>
      </c>
      <c r="E188" s="9"/>
    </row>
    <row r="189" spans="1:8" ht="14.25" x14ac:dyDescent="0.15">
      <c r="B189" s="34" t="s">
        <v>82</v>
      </c>
      <c r="C189" s="34" t="s">
        <v>82</v>
      </c>
      <c r="D189" s="34" t="s">
        <v>82</v>
      </c>
      <c r="E189" s="9"/>
    </row>
    <row r="190" spans="1:8" ht="14.25" x14ac:dyDescent="0.15">
      <c r="B190" s="34" t="s">
        <v>83</v>
      </c>
      <c r="C190" s="34" t="s">
        <v>83</v>
      </c>
      <c r="D190" s="34" t="s">
        <v>83</v>
      </c>
      <c r="E190" s="9"/>
    </row>
    <row r="191" spans="1:8" ht="14.25" x14ac:dyDescent="0.15">
      <c r="B191" s="34" t="s">
        <v>89</v>
      </c>
      <c r="C191" s="34" t="s">
        <v>89</v>
      </c>
      <c r="D191" s="34" t="s">
        <v>89</v>
      </c>
      <c r="E191" s="9"/>
    </row>
    <row r="192" spans="1:8" ht="12.75" x14ac:dyDescent="0.15">
      <c r="B192" s="18"/>
      <c r="C192" s="18"/>
      <c r="D192" s="19"/>
    </row>
    <row r="193" spans="1:8" ht="17.45" customHeight="1" x14ac:dyDescent="0.2">
      <c r="A193" s="51"/>
      <c r="B193" s="51" t="s">
        <v>103</v>
      </c>
      <c r="D193" s="25"/>
    </row>
    <row r="194" spans="1:8" ht="14.25" x14ac:dyDescent="0.1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 x14ac:dyDescent="0.1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 x14ac:dyDescent="0.1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 x14ac:dyDescent="0.1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 x14ac:dyDescent="0.1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 x14ac:dyDescent="0.15">
      <c r="B199" s="18"/>
      <c r="C199" s="18"/>
      <c r="D199" s="19"/>
      <c r="E199" s="18"/>
      <c r="F199" s="18"/>
      <c r="G199" s="18"/>
    </row>
    <row r="200" spans="1:8" ht="17.45" customHeight="1" x14ac:dyDescent="0.2">
      <c r="A200" s="51"/>
      <c r="B200" s="51" t="s">
        <v>104</v>
      </c>
      <c r="D200" s="25"/>
    </row>
    <row r="201" spans="1:8" ht="14.25" x14ac:dyDescent="0.1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 x14ac:dyDescent="0.1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 x14ac:dyDescent="0.1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 x14ac:dyDescent="0.1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 x14ac:dyDescent="0.1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 x14ac:dyDescent="0.15">
      <c r="B206" s="18"/>
      <c r="C206" s="18"/>
      <c r="D206" s="19"/>
      <c r="E206" s="18"/>
      <c r="F206" s="18"/>
      <c r="G206" s="18"/>
    </row>
    <row r="207" spans="1:8" ht="14.25" x14ac:dyDescent="0.1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 x14ac:dyDescent="0.1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 x14ac:dyDescent="0.1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 x14ac:dyDescent="0.1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 x14ac:dyDescent="0.1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 x14ac:dyDescent="0.15">
      <c r="B212" s="46"/>
      <c r="C212" s="46"/>
      <c r="D212" s="46"/>
      <c r="E212" s="46"/>
      <c r="F212" s="46"/>
      <c r="G212" s="47"/>
    </row>
    <row r="213" spans="1:8" ht="14.25" x14ac:dyDescent="0.1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 x14ac:dyDescent="0.1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 x14ac:dyDescent="0.1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 x14ac:dyDescent="0.1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 x14ac:dyDescent="0.15">
      <c r="B217" s="18"/>
      <c r="C217" s="18"/>
      <c r="D217" s="19"/>
      <c r="E217" s="18"/>
    </row>
    <row r="218" spans="1:8" ht="17.45" customHeight="1" x14ac:dyDescent="0.2">
      <c r="A218" s="55"/>
      <c r="B218" s="55" t="s">
        <v>110</v>
      </c>
      <c r="D218" s="25"/>
    </row>
    <row r="219" spans="1:8" ht="12.75" x14ac:dyDescent="0.15">
      <c r="D219" s="25"/>
    </row>
    <row r="220" spans="1:8" ht="14.25" x14ac:dyDescent="0.1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 x14ac:dyDescent="0.1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 x14ac:dyDescent="0.1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 x14ac:dyDescent="0.1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 x14ac:dyDescent="0.1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 x14ac:dyDescent="0.15">
      <c r="B225" s="18"/>
      <c r="C225" s="18"/>
      <c r="D225" s="19"/>
      <c r="E225" s="18"/>
      <c r="F225" s="18"/>
      <c r="G225" s="18"/>
    </row>
    <row r="226" spans="1:8" ht="17.45" customHeight="1" x14ac:dyDescent="0.2">
      <c r="A226" s="55"/>
      <c r="B226" s="55" t="s">
        <v>111</v>
      </c>
      <c r="D226" s="25"/>
    </row>
    <row r="227" spans="1:8" ht="12.75" x14ac:dyDescent="0.15">
      <c r="D227" s="25"/>
    </row>
    <row r="228" spans="1:8" ht="14.25" x14ac:dyDescent="0.1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 x14ac:dyDescent="0.1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 x14ac:dyDescent="0.1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 x14ac:dyDescent="0.1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 x14ac:dyDescent="0.1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 x14ac:dyDescent="0.15">
      <c r="B233" s="18"/>
      <c r="C233" s="18"/>
      <c r="D233" s="19"/>
      <c r="E233" s="18"/>
    </row>
    <row r="234" spans="1:8" ht="17.45" customHeight="1" x14ac:dyDescent="0.2">
      <c r="A234" s="55"/>
      <c r="B234" s="55" t="s">
        <v>112</v>
      </c>
      <c r="D234" s="25"/>
    </row>
    <row r="235" spans="1:8" ht="12.75" x14ac:dyDescent="0.15">
      <c r="D235" s="25"/>
    </row>
    <row r="236" spans="1:8" ht="14.25" x14ac:dyDescent="0.1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 x14ac:dyDescent="0.1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 x14ac:dyDescent="0.1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 x14ac:dyDescent="0.1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 x14ac:dyDescent="0.1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 x14ac:dyDescent="0.15">
      <c r="B241" s="18"/>
      <c r="C241" s="18"/>
      <c r="D241" s="19"/>
      <c r="E241" s="18"/>
      <c r="F241" s="18"/>
      <c r="G241" s="18"/>
    </row>
    <row r="242" spans="1:8" ht="14.25" x14ac:dyDescent="0.15">
      <c r="B242" s="56" t="s">
        <v>51</v>
      </c>
      <c r="C242" s="56" t="s">
        <v>52</v>
      </c>
      <c r="D242" s="38"/>
    </row>
    <row r="243" spans="1:8" ht="14.25" x14ac:dyDescent="0.15">
      <c r="B243" s="34" t="s">
        <v>82</v>
      </c>
      <c r="C243" s="34" t="s">
        <v>82</v>
      </c>
      <c r="D243" s="38"/>
    </row>
    <row r="244" spans="1:8" ht="14.25" x14ac:dyDescent="0.15">
      <c r="B244" s="34" t="s">
        <v>82</v>
      </c>
      <c r="C244" s="34" t="s">
        <v>82</v>
      </c>
      <c r="D244" s="38"/>
    </row>
    <row r="245" spans="1:8" ht="14.25" x14ac:dyDescent="0.15">
      <c r="B245" s="34" t="s">
        <v>83</v>
      </c>
      <c r="C245" s="34" t="s">
        <v>83</v>
      </c>
      <c r="D245" s="38"/>
    </row>
    <row r="246" spans="1:8" ht="14.25" x14ac:dyDescent="0.15">
      <c r="B246" s="34" t="s">
        <v>89</v>
      </c>
      <c r="C246" s="34" t="s">
        <v>89</v>
      </c>
      <c r="D246" s="38"/>
    </row>
    <row r="247" spans="1:8" ht="12.75" x14ac:dyDescent="0.15">
      <c r="B247" s="58"/>
      <c r="C247" s="58"/>
      <c r="D247" s="25"/>
    </row>
    <row r="248" spans="1:8" ht="12.75" x14ac:dyDescent="0.15">
      <c r="D248" s="25"/>
    </row>
    <row r="249" spans="1:8" ht="14.25" x14ac:dyDescent="0.1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 x14ac:dyDescent="0.1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 x14ac:dyDescent="0.1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 x14ac:dyDescent="0.1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 x14ac:dyDescent="0.15">
      <c r="B253" s="18"/>
      <c r="C253" s="18"/>
      <c r="D253" s="19"/>
      <c r="E253" s="18"/>
    </row>
    <row r="254" spans="1:8" ht="17.45" customHeight="1" x14ac:dyDescent="0.2">
      <c r="A254" s="60"/>
      <c r="B254" s="60" t="s">
        <v>118</v>
      </c>
      <c r="D254" s="25"/>
    </row>
    <row r="255" spans="1:8" ht="12.75" x14ac:dyDescent="0.15">
      <c r="D255" s="25"/>
    </row>
    <row r="256" spans="1:8" ht="14.25" x14ac:dyDescent="0.1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 x14ac:dyDescent="0.1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 x14ac:dyDescent="0.1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 x14ac:dyDescent="0.1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 x14ac:dyDescent="0.1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 x14ac:dyDescent="0.15">
      <c r="B261" s="18"/>
      <c r="C261" s="18"/>
      <c r="D261" s="19"/>
      <c r="E261" s="18"/>
      <c r="F261" s="18"/>
      <c r="G261" s="18"/>
    </row>
    <row r="262" spans="1:8" ht="14.25" x14ac:dyDescent="0.1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 x14ac:dyDescent="0.1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 x14ac:dyDescent="0.1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 x14ac:dyDescent="0.1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 x14ac:dyDescent="0.1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 x14ac:dyDescent="0.15">
      <c r="B267" s="18"/>
      <c r="C267" s="18"/>
      <c r="D267" s="19"/>
      <c r="E267" s="18"/>
      <c r="F267" s="18"/>
      <c r="G267" s="18"/>
    </row>
    <row r="268" spans="1:8" ht="12.75" x14ac:dyDescent="0.15">
      <c r="D268" s="25"/>
    </row>
    <row r="269" spans="1:8" ht="14.25" x14ac:dyDescent="0.1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 x14ac:dyDescent="0.1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 x14ac:dyDescent="0.15">
      <c r="B271" s="49"/>
      <c r="C271" s="49"/>
      <c r="D271" s="61"/>
      <c r="E271" s="49"/>
      <c r="F271" s="49"/>
      <c r="G271" s="62"/>
      <c r="H271" s="63"/>
    </row>
    <row r="272" spans="1:8" ht="17.45" customHeight="1" x14ac:dyDescent="0.2">
      <c r="A272" s="60"/>
      <c r="B272" s="60" t="s">
        <v>129</v>
      </c>
      <c r="D272" s="25"/>
    </row>
    <row r="273" spans="2:8" ht="12.75" x14ac:dyDescent="0.15">
      <c r="D273" s="25"/>
    </row>
    <row r="274" spans="2:8" ht="14.25" x14ac:dyDescent="0.1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 x14ac:dyDescent="0.1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 x14ac:dyDescent="0.1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 x14ac:dyDescent="0.1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 x14ac:dyDescent="0.1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 x14ac:dyDescent="0.15">
      <c r="B279" s="18"/>
      <c r="C279" s="18"/>
      <c r="D279" s="19"/>
      <c r="E279" s="18"/>
      <c r="F279" s="18"/>
      <c r="G279" s="18"/>
    </row>
    <row r="280" spans="2:8" ht="14.25" x14ac:dyDescent="0.15">
      <c r="B280" s="44" t="s">
        <v>51</v>
      </c>
      <c r="C280" s="44" t="s">
        <v>52</v>
      </c>
      <c r="D280" s="9"/>
    </row>
    <row r="281" spans="2:8" ht="14.25" x14ac:dyDescent="0.15">
      <c r="B281" s="32" t="s">
        <v>81</v>
      </c>
      <c r="C281" s="32" t="s">
        <v>81</v>
      </c>
      <c r="D281" s="9"/>
    </row>
    <row r="282" spans="2:8" ht="14.25" x14ac:dyDescent="0.15">
      <c r="B282" s="34" t="s">
        <v>82</v>
      </c>
      <c r="C282" s="34" t="s">
        <v>82</v>
      </c>
      <c r="D282" s="9"/>
    </row>
    <row r="283" spans="2:8" ht="14.25" x14ac:dyDescent="0.15">
      <c r="B283" s="34" t="s">
        <v>84</v>
      </c>
      <c r="C283" s="34" t="s">
        <v>84</v>
      </c>
      <c r="D283" s="9"/>
    </row>
    <row r="284" spans="2:8" ht="14.25" x14ac:dyDescent="0.15">
      <c r="B284" s="34" t="s">
        <v>123</v>
      </c>
      <c r="C284" s="35" t="s">
        <v>124</v>
      </c>
      <c r="D284" s="9"/>
    </row>
    <row r="285" spans="2:8" ht="14.25" x14ac:dyDescent="0.15">
      <c r="B285" s="46"/>
      <c r="C285" s="47"/>
    </row>
    <row r="286" spans="2:8" ht="12.75" x14ac:dyDescent="0.15">
      <c r="D286" s="25"/>
    </row>
    <row r="287" spans="2:8" ht="14.25" x14ac:dyDescent="0.1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 x14ac:dyDescent="0.1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 x14ac:dyDescent="0.15">
      <c r="B289" s="18"/>
      <c r="C289" s="18"/>
      <c r="D289" s="19"/>
      <c r="E289" s="18"/>
      <c r="F289" s="18"/>
      <c r="G289" s="18"/>
    </row>
    <row r="290" spans="1:8" ht="17.45" customHeight="1" x14ac:dyDescent="0.2">
      <c r="A290" s="60"/>
      <c r="B290" s="60" t="s">
        <v>131</v>
      </c>
      <c r="D290" s="25"/>
    </row>
    <row r="291" spans="1:8" ht="12.75" x14ac:dyDescent="0.15">
      <c r="D291" s="25"/>
    </row>
    <row r="292" spans="1:8" ht="14.25" x14ac:dyDescent="0.1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 x14ac:dyDescent="0.1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 x14ac:dyDescent="0.1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 x14ac:dyDescent="0.1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 x14ac:dyDescent="0.1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 x14ac:dyDescent="0.15">
      <c r="B297" s="18"/>
      <c r="C297" s="18"/>
      <c r="D297" s="19"/>
      <c r="E297" s="18"/>
      <c r="F297" s="18"/>
      <c r="G297" s="18"/>
    </row>
    <row r="298" spans="1:8" ht="14.25" x14ac:dyDescent="0.1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 x14ac:dyDescent="0.1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 x14ac:dyDescent="0.1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 x14ac:dyDescent="0.1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 x14ac:dyDescent="0.1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 x14ac:dyDescent="0.15">
      <c r="B303" s="18"/>
      <c r="C303" s="18"/>
      <c r="D303" s="19"/>
      <c r="E303" s="18"/>
      <c r="F303" s="18"/>
      <c r="G303" s="18"/>
    </row>
    <row r="304" spans="1:8" ht="14.25" x14ac:dyDescent="0.15">
      <c r="B304" s="44" t="s">
        <v>58</v>
      </c>
      <c r="C304" s="44" t="s">
        <v>59</v>
      </c>
      <c r="D304" s="44" t="s">
        <v>60</v>
      </c>
      <c r="E304" s="9"/>
    </row>
    <row r="305" spans="2:8" ht="14.25" x14ac:dyDescent="0.15">
      <c r="B305" s="32" t="s">
        <v>81</v>
      </c>
      <c r="C305" s="32" t="s">
        <v>81</v>
      </c>
      <c r="D305" s="32" t="s">
        <v>81</v>
      </c>
      <c r="E305" s="9"/>
    </row>
    <row r="306" spans="2:8" ht="14.25" x14ac:dyDescent="0.15">
      <c r="B306" s="34" t="s">
        <v>81</v>
      </c>
      <c r="C306" s="34" t="s">
        <v>81</v>
      </c>
      <c r="D306" s="34" t="s">
        <v>82</v>
      </c>
      <c r="E306" s="9"/>
    </row>
    <row r="307" spans="2:8" ht="14.25" x14ac:dyDescent="0.15">
      <c r="B307" s="34" t="s">
        <v>84</v>
      </c>
      <c r="C307" s="34" t="s">
        <v>84</v>
      </c>
      <c r="D307" s="34" t="s">
        <v>84</v>
      </c>
      <c r="E307" s="9"/>
    </row>
    <row r="308" spans="2:8" ht="14.25" x14ac:dyDescent="0.15">
      <c r="B308" s="34" t="s">
        <v>123</v>
      </c>
      <c r="C308" s="34" t="s">
        <v>123</v>
      </c>
      <c r="D308" s="34" t="s">
        <v>123</v>
      </c>
      <c r="E308" s="9"/>
    </row>
    <row r="309" spans="2:8" ht="12.75" x14ac:dyDescent="0.15">
      <c r="B309" s="18"/>
      <c r="C309" s="18"/>
      <c r="D309" s="19"/>
    </row>
    <row r="310" spans="2:8" ht="12.75" x14ac:dyDescent="0.15">
      <c r="D310" s="25"/>
    </row>
    <row r="311" spans="2:8" ht="14.25" x14ac:dyDescent="0.1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 x14ac:dyDescent="0.1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 x14ac:dyDescent="0.15">
      <c r="B313" s="18"/>
      <c r="C313" s="18"/>
      <c r="D313" s="19"/>
      <c r="E313" s="18"/>
      <c r="F313" s="18"/>
      <c r="G313" s="18"/>
    </row>
    <row r="314" spans="2:8" ht="12.75" x14ac:dyDescent="0.15">
      <c r="D314" s="25"/>
    </row>
    <row r="315" spans="2:8" ht="12.75" x14ac:dyDescent="0.15">
      <c r="D315" s="25"/>
    </row>
    <row r="316" spans="2:8" ht="12.75" x14ac:dyDescent="0.15">
      <c r="D316" s="25"/>
    </row>
    <row r="317" spans="2:8" ht="12.75" x14ac:dyDescent="0.15">
      <c r="D317" s="25"/>
    </row>
    <row r="318" spans="2:8" ht="12.75" x14ac:dyDescent="0.15">
      <c r="D318" s="25"/>
    </row>
    <row r="319" spans="2:8" ht="12.75" x14ac:dyDescent="0.15">
      <c r="D319" s="25"/>
    </row>
    <row r="320" spans="2:8" ht="12.75" x14ac:dyDescent="0.15">
      <c r="D320" s="25"/>
    </row>
    <row r="321" spans="1:8" ht="12.75" x14ac:dyDescent="0.15">
      <c r="D321" s="25"/>
    </row>
    <row r="322" spans="1:8" ht="12.75" x14ac:dyDescent="0.15">
      <c r="D322" s="25"/>
    </row>
    <row r="323" spans="1:8" ht="12.75" x14ac:dyDescent="0.15">
      <c r="D323" s="25"/>
    </row>
    <row r="324" spans="1:8" ht="12.75" x14ac:dyDescent="0.15">
      <c r="D324" s="25"/>
    </row>
    <row r="325" spans="1:8" ht="12.75" x14ac:dyDescent="0.15">
      <c r="D325" s="25"/>
    </row>
    <row r="326" spans="1:8" ht="17.45" customHeight="1" x14ac:dyDescent="0.2">
      <c r="A326" s="60"/>
      <c r="B326" s="60" t="s">
        <v>133</v>
      </c>
      <c r="D326" s="25"/>
    </row>
    <row r="327" spans="1:8" ht="14.25" x14ac:dyDescent="0.1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 x14ac:dyDescent="0.1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 x14ac:dyDescent="0.1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 x14ac:dyDescent="0.1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 x14ac:dyDescent="0.1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 x14ac:dyDescent="0.15">
      <c r="B332" s="18"/>
      <c r="C332" s="18"/>
      <c r="D332" s="19"/>
      <c r="E332" s="18"/>
      <c r="F332" s="18"/>
      <c r="G332" s="18"/>
    </row>
    <row r="333" spans="1:8" ht="14.25" x14ac:dyDescent="0.15">
      <c r="B333" s="52" t="s">
        <v>51</v>
      </c>
      <c r="C333" s="52" t="s">
        <v>52</v>
      </c>
      <c r="D333" s="52" t="s">
        <v>53</v>
      </c>
      <c r="E333" s="9"/>
    </row>
    <row r="334" spans="1:8" ht="14.25" x14ac:dyDescent="0.15">
      <c r="B334" s="32" t="s">
        <v>81</v>
      </c>
      <c r="C334" s="32" t="s">
        <v>81</v>
      </c>
      <c r="D334" s="32" t="s">
        <v>81</v>
      </c>
      <c r="E334" s="9"/>
    </row>
    <row r="335" spans="1:8" ht="14.25" x14ac:dyDescent="0.15">
      <c r="B335" s="34" t="s">
        <v>82</v>
      </c>
      <c r="C335" s="34" t="s">
        <v>82</v>
      </c>
      <c r="D335" s="34" t="s">
        <v>82</v>
      </c>
      <c r="E335" s="9"/>
    </row>
    <row r="336" spans="1:8" ht="14.25" x14ac:dyDescent="0.15">
      <c r="B336" s="34" t="s">
        <v>83</v>
      </c>
      <c r="C336" s="34" t="s">
        <v>83</v>
      </c>
      <c r="D336" s="34" t="s">
        <v>83</v>
      </c>
      <c r="E336" s="9"/>
    </row>
    <row r="337" spans="1:8" ht="14.25" x14ac:dyDescent="0.15">
      <c r="B337" s="34" t="s">
        <v>123</v>
      </c>
      <c r="C337" s="34" t="s">
        <v>123</v>
      </c>
      <c r="D337" s="35" t="s">
        <v>124</v>
      </c>
      <c r="E337" s="9"/>
    </row>
    <row r="338" spans="1:8" ht="12.75" x14ac:dyDescent="0.15">
      <c r="B338" s="18"/>
      <c r="C338" s="18"/>
      <c r="D338" s="19"/>
    </row>
    <row r="339" spans="1:8" ht="17.45" customHeight="1" x14ac:dyDescent="0.2">
      <c r="A339" s="60"/>
      <c r="B339" s="60" t="s">
        <v>134</v>
      </c>
      <c r="D339" s="25"/>
    </row>
    <row r="340" spans="1:8" ht="14.25" x14ac:dyDescent="0.1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 x14ac:dyDescent="0.1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 x14ac:dyDescent="0.1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 x14ac:dyDescent="0.1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 x14ac:dyDescent="0.1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 x14ac:dyDescent="0.15">
      <c r="B345" s="18"/>
      <c r="C345" s="18"/>
      <c r="D345" s="19"/>
      <c r="E345" s="18"/>
      <c r="F345" s="18"/>
      <c r="G345" s="18"/>
    </row>
    <row r="346" spans="1:8" ht="17.45" customHeight="1" x14ac:dyDescent="0.2">
      <c r="A346" s="60"/>
      <c r="B346" s="60" t="s">
        <v>135</v>
      </c>
      <c r="D346" s="25"/>
    </row>
    <row r="347" spans="1:8" ht="14.25" x14ac:dyDescent="0.1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 x14ac:dyDescent="0.1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 x14ac:dyDescent="0.1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 x14ac:dyDescent="0.1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 x14ac:dyDescent="0.1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 x14ac:dyDescent="0.15">
      <c r="B352" s="18"/>
      <c r="C352" s="18"/>
      <c r="D352" s="19"/>
      <c r="E352" s="18"/>
      <c r="F352" s="18"/>
      <c r="G352" s="18"/>
    </row>
    <row r="353" spans="1:8" ht="14.25" x14ac:dyDescent="0.1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 x14ac:dyDescent="0.1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 x14ac:dyDescent="0.1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 x14ac:dyDescent="0.1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 x14ac:dyDescent="0.1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 x14ac:dyDescent="0.15">
      <c r="B358" s="18"/>
      <c r="C358" s="18"/>
      <c r="D358" s="19"/>
      <c r="E358" s="18"/>
      <c r="F358" s="18"/>
      <c r="G358" s="18"/>
    </row>
    <row r="359" spans="1:8" ht="14.25" x14ac:dyDescent="0.1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 x14ac:dyDescent="0.1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 x14ac:dyDescent="0.1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 x14ac:dyDescent="0.1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 x14ac:dyDescent="0.15">
      <c r="B363" s="49"/>
      <c r="C363" s="49"/>
      <c r="D363" s="61"/>
      <c r="E363" s="49"/>
      <c r="F363" s="18"/>
      <c r="G363" s="18"/>
    </row>
    <row r="364" spans="1:8" ht="17.45" customHeight="1" x14ac:dyDescent="0.2">
      <c r="A364" s="55"/>
      <c r="B364" s="55" t="s">
        <v>137</v>
      </c>
      <c r="D364" s="25"/>
    </row>
    <row r="365" spans="1:8" ht="12.75" x14ac:dyDescent="0.15">
      <c r="D365" s="25"/>
    </row>
    <row r="366" spans="1:8" ht="14.25" x14ac:dyDescent="0.1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 x14ac:dyDescent="0.1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 x14ac:dyDescent="0.1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 x14ac:dyDescent="0.1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 x14ac:dyDescent="0.1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 x14ac:dyDescent="0.15">
      <c r="B371" s="58"/>
      <c r="C371" s="64"/>
      <c r="D371" s="58"/>
      <c r="E371" s="64"/>
      <c r="F371" s="64"/>
      <c r="G371" s="65"/>
    </row>
    <row r="372" spans="1:8" ht="12.75" x14ac:dyDescent="0.15">
      <c r="D372" s="25"/>
    </row>
    <row r="373" spans="1:8" ht="17.45" customHeight="1" x14ac:dyDescent="0.2">
      <c r="A373" s="55"/>
      <c r="B373" s="55" t="s">
        <v>138</v>
      </c>
      <c r="D373" s="25"/>
    </row>
    <row r="374" spans="1:8" ht="12.75" x14ac:dyDescent="0.15">
      <c r="D374" s="25"/>
    </row>
    <row r="375" spans="1:8" ht="14.25" x14ac:dyDescent="0.1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 x14ac:dyDescent="0.1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 x14ac:dyDescent="0.1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 x14ac:dyDescent="0.1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 x14ac:dyDescent="0.1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 x14ac:dyDescent="0.15">
      <c r="B380" s="64"/>
      <c r="C380" s="64"/>
      <c r="D380" s="58"/>
      <c r="E380" s="64"/>
    </row>
    <row r="381" spans="1:8" ht="12.75" x14ac:dyDescent="0.15">
      <c r="D381" s="25"/>
    </row>
    <row r="382" spans="1:8" ht="17.45" customHeight="1" x14ac:dyDescent="0.2">
      <c r="A382" s="55"/>
      <c r="B382" s="55" t="s">
        <v>139</v>
      </c>
      <c r="D382" s="25"/>
    </row>
    <row r="383" spans="1:8" ht="14.25" x14ac:dyDescent="0.1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 x14ac:dyDescent="0.1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 x14ac:dyDescent="0.1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 x14ac:dyDescent="0.1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 x14ac:dyDescent="0.1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 x14ac:dyDescent="0.15">
      <c r="B388" s="18"/>
      <c r="C388" s="18"/>
      <c r="D388" s="19"/>
      <c r="E388" s="18"/>
      <c r="F388" s="18"/>
      <c r="G388" s="18"/>
    </row>
    <row r="389" spans="1:8" ht="14.25" x14ac:dyDescent="0.15">
      <c r="B389" s="56" t="s">
        <v>51</v>
      </c>
      <c r="C389" s="56" t="s">
        <v>52</v>
      </c>
      <c r="D389" s="38"/>
    </row>
    <row r="390" spans="1:8" ht="14.25" x14ac:dyDescent="0.15">
      <c r="B390" s="32" t="s">
        <v>82</v>
      </c>
      <c r="C390" s="32" t="s">
        <v>82</v>
      </c>
      <c r="D390" s="38"/>
    </row>
    <row r="391" spans="1:8" ht="14.25" x14ac:dyDescent="0.15">
      <c r="B391" s="34" t="s">
        <v>83</v>
      </c>
      <c r="C391" s="34" t="s">
        <v>83</v>
      </c>
      <c r="D391" s="38"/>
    </row>
    <row r="392" spans="1:8" ht="14.25" x14ac:dyDescent="0.15">
      <c r="B392" s="35" t="s">
        <v>120</v>
      </c>
      <c r="C392" s="35" t="s">
        <v>120</v>
      </c>
      <c r="D392" s="38"/>
    </row>
    <row r="393" spans="1:8" ht="14.25" x14ac:dyDescent="0.15">
      <c r="B393" s="35" t="s">
        <v>124</v>
      </c>
      <c r="C393" s="35" t="s">
        <v>124</v>
      </c>
      <c r="D393" s="38"/>
    </row>
    <row r="394" spans="1:8" ht="12.75" x14ac:dyDescent="0.15">
      <c r="B394" s="18"/>
      <c r="C394" s="18"/>
      <c r="D394" s="25"/>
    </row>
    <row r="395" spans="1:8" ht="14.25" x14ac:dyDescent="0.1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 x14ac:dyDescent="0.1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 x14ac:dyDescent="0.1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 x14ac:dyDescent="0.1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 x14ac:dyDescent="0.15">
      <c r="B399" s="18"/>
      <c r="C399" s="18"/>
      <c r="D399" s="19"/>
      <c r="E399" s="18"/>
      <c r="F399" s="18"/>
      <c r="G399" s="18"/>
    </row>
    <row r="400" spans="1:8" ht="17.45" customHeight="1" x14ac:dyDescent="0.2">
      <c r="A400" s="60"/>
      <c r="B400" s="60" t="s">
        <v>143</v>
      </c>
      <c r="D400" s="25"/>
    </row>
    <row r="401" spans="2:8" ht="12.75" x14ac:dyDescent="0.15">
      <c r="D401" s="25"/>
    </row>
    <row r="402" spans="2:8" ht="14.25" x14ac:dyDescent="0.1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 x14ac:dyDescent="0.1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 x14ac:dyDescent="0.1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 x14ac:dyDescent="0.1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 x14ac:dyDescent="0.1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 x14ac:dyDescent="0.15">
      <c r="B407" s="18"/>
      <c r="C407" s="18"/>
      <c r="D407" s="19"/>
      <c r="E407" s="18"/>
      <c r="F407" s="18"/>
      <c r="G407" s="18"/>
    </row>
    <row r="408" spans="2:8" ht="14.25" x14ac:dyDescent="0.1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 x14ac:dyDescent="0.1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 x14ac:dyDescent="0.1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 x14ac:dyDescent="0.1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 x14ac:dyDescent="0.1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 x14ac:dyDescent="0.15">
      <c r="B413" s="46"/>
      <c r="C413" s="46"/>
      <c r="D413" s="46"/>
      <c r="E413" s="46"/>
      <c r="F413" s="46"/>
      <c r="G413" s="47"/>
    </row>
    <row r="414" spans="2:8" ht="12.75" x14ac:dyDescent="0.15">
      <c r="D414" s="25"/>
    </row>
    <row r="415" spans="2:8" ht="14.25" x14ac:dyDescent="0.1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 x14ac:dyDescent="0.1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 x14ac:dyDescent="0.15">
      <c r="B417" s="49"/>
      <c r="C417" s="49"/>
      <c r="D417" s="49"/>
      <c r="E417" s="49"/>
      <c r="F417" s="49"/>
      <c r="G417" s="49"/>
    </row>
    <row r="418" spans="1:8" ht="17.45" customHeight="1" x14ac:dyDescent="0.2">
      <c r="A418" s="60"/>
      <c r="B418" s="60" t="s">
        <v>149</v>
      </c>
      <c r="D418" s="25"/>
    </row>
    <row r="419" spans="1:8" ht="12.75" x14ac:dyDescent="0.15">
      <c r="D419" s="25"/>
    </row>
    <row r="420" spans="1:8" ht="14.25" x14ac:dyDescent="0.1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 x14ac:dyDescent="0.1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 x14ac:dyDescent="0.1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 x14ac:dyDescent="0.1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 x14ac:dyDescent="0.1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 x14ac:dyDescent="0.15">
      <c r="B425" s="18"/>
      <c r="C425" s="18"/>
      <c r="D425" s="19"/>
      <c r="E425" s="18"/>
      <c r="F425" s="18"/>
      <c r="G425" s="18"/>
    </row>
    <row r="426" spans="1:8" ht="14.25" x14ac:dyDescent="0.15">
      <c r="B426" s="44" t="s">
        <v>51</v>
      </c>
      <c r="C426" s="44" t="s">
        <v>52</v>
      </c>
      <c r="D426" s="9"/>
    </row>
    <row r="427" spans="1:8" ht="14.25" x14ac:dyDescent="0.15">
      <c r="B427" s="32" t="s">
        <v>81</v>
      </c>
      <c r="C427" s="32" t="s">
        <v>81</v>
      </c>
      <c r="D427" s="9"/>
    </row>
    <row r="428" spans="1:8" ht="14.25" x14ac:dyDescent="0.15">
      <c r="B428" s="34" t="s">
        <v>82</v>
      </c>
      <c r="C428" s="34" t="s">
        <v>82</v>
      </c>
      <c r="D428" s="9"/>
    </row>
    <row r="429" spans="1:8" ht="14.25" x14ac:dyDescent="0.15">
      <c r="B429" s="34" t="s">
        <v>83</v>
      </c>
      <c r="C429" s="34" t="s">
        <v>83</v>
      </c>
      <c r="D429" s="9"/>
    </row>
    <row r="430" spans="1:8" ht="14.25" x14ac:dyDescent="0.15">
      <c r="B430" s="34" t="s">
        <v>123</v>
      </c>
      <c r="C430" s="34" t="s">
        <v>123</v>
      </c>
      <c r="D430" s="9"/>
    </row>
    <row r="431" spans="1:8" ht="14.25" x14ac:dyDescent="0.15">
      <c r="B431" s="46"/>
      <c r="C431" s="46"/>
      <c r="D431" s="37"/>
      <c r="E431" s="37"/>
    </row>
    <row r="432" spans="1:8" ht="12.75" x14ac:dyDescent="0.15">
      <c r="D432" s="25"/>
    </row>
    <row r="433" spans="1:8" ht="14.25" x14ac:dyDescent="0.1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 x14ac:dyDescent="0.1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 x14ac:dyDescent="0.15">
      <c r="B435" s="18"/>
      <c r="C435" s="18"/>
      <c r="D435" s="19"/>
      <c r="E435" s="18"/>
      <c r="F435" s="18"/>
      <c r="G435" s="18"/>
    </row>
    <row r="436" spans="1:8" ht="17.45" customHeight="1" x14ac:dyDescent="0.2">
      <c r="A436" s="60"/>
      <c r="B436" s="60" t="s">
        <v>153</v>
      </c>
      <c r="D436" s="25"/>
    </row>
    <row r="437" spans="1:8" ht="12.75" x14ac:dyDescent="0.15">
      <c r="D437" s="25"/>
    </row>
    <row r="438" spans="1:8" ht="14.25" x14ac:dyDescent="0.1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 x14ac:dyDescent="0.1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 x14ac:dyDescent="0.1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 x14ac:dyDescent="0.1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 x14ac:dyDescent="0.1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 x14ac:dyDescent="0.15">
      <c r="B443" s="18"/>
      <c r="C443" s="18"/>
      <c r="D443" s="19"/>
      <c r="E443" s="18"/>
      <c r="F443" s="18"/>
      <c r="G443" s="18"/>
    </row>
    <row r="444" spans="1:8" ht="14.25" x14ac:dyDescent="0.1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 x14ac:dyDescent="0.1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 x14ac:dyDescent="0.1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 x14ac:dyDescent="0.1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 x14ac:dyDescent="0.1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 x14ac:dyDescent="0.15">
      <c r="B449" s="18"/>
      <c r="C449" s="18"/>
      <c r="D449" s="19"/>
      <c r="E449" s="18"/>
      <c r="F449" s="18"/>
      <c r="G449" s="18"/>
    </row>
    <row r="450" spans="2:8" ht="14.25" x14ac:dyDescent="0.15">
      <c r="B450" s="44" t="s">
        <v>58</v>
      </c>
      <c r="C450" s="44" t="s">
        <v>59</v>
      </c>
      <c r="D450" s="44" t="s">
        <v>60</v>
      </c>
      <c r="E450" s="9"/>
    </row>
    <row r="451" spans="2:8" ht="14.25" x14ac:dyDescent="0.15">
      <c r="B451" s="32" t="s">
        <v>81</v>
      </c>
      <c r="C451" s="32" t="s">
        <v>81</v>
      </c>
      <c r="D451" s="32" t="s">
        <v>81</v>
      </c>
      <c r="E451" s="9"/>
    </row>
    <row r="452" spans="2:8" ht="14.25" x14ac:dyDescent="0.15">
      <c r="B452" s="34" t="s">
        <v>82</v>
      </c>
      <c r="C452" s="34" t="s">
        <v>82</v>
      </c>
      <c r="D452" s="34" t="s">
        <v>82</v>
      </c>
      <c r="E452" s="9"/>
    </row>
    <row r="453" spans="2:8" ht="14.25" x14ac:dyDescent="0.15">
      <c r="B453" s="34" t="s">
        <v>83</v>
      </c>
      <c r="C453" s="34" t="s">
        <v>83</v>
      </c>
      <c r="D453" s="34" t="s">
        <v>83</v>
      </c>
      <c r="E453" s="9"/>
    </row>
    <row r="454" spans="2:8" ht="14.25" x14ac:dyDescent="0.15">
      <c r="B454" s="34" t="s">
        <v>123</v>
      </c>
      <c r="C454" s="34" t="s">
        <v>123</v>
      </c>
      <c r="D454" s="34" t="s">
        <v>123</v>
      </c>
      <c r="E454" s="9"/>
    </row>
    <row r="455" spans="2:8" ht="12.75" x14ac:dyDescent="0.15">
      <c r="B455" s="18"/>
      <c r="C455" s="18"/>
      <c r="D455" s="19"/>
    </row>
    <row r="456" spans="2:8" ht="12.75" x14ac:dyDescent="0.15">
      <c r="D456" s="25"/>
    </row>
    <row r="457" spans="2:8" ht="14.25" x14ac:dyDescent="0.1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 x14ac:dyDescent="0.1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 x14ac:dyDescent="0.15">
      <c r="B459" s="18"/>
      <c r="C459" s="18"/>
      <c r="D459" s="19"/>
      <c r="E459" s="18"/>
      <c r="F459" s="18"/>
      <c r="G459" s="18"/>
    </row>
    <row r="460" spans="2:8" ht="12.75" x14ac:dyDescent="0.15">
      <c r="D460" s="25"/>
    </row>
    <row r="461" spans="2:8" ht="12.75" x14ac:dyDescent="0.15">
      <c r="D461" s="25"/>
    </row>
    <row r="462" spans="2:8" ht="12.75" x14ac:dyDescent="0.15">
      <c r="D462" s="25"/>
    </row>
    <row r="463" spans="2:8" ht="12.75" x14ac:dyDescent="0.15">
      <c r="D463" s="25"/>
    </row>
    <row r="464" spans="2:8" ht="12.75" x14ac:dyDescent="0.15">
      <c r="D464" s="25"/>
    </row>
    <row r="465" spans="1:8" ht="12.75" x14ac:dyDescent="0.15">
      <c r="D465" s="25"/>
    </row>
    <row r="466" spans="1:8" ht="12.75" x14ac:dyDescent="0.15">
      <c r="D466" s="25"/>
    </row>
    <row r="467" spans="1:8" ht="12.75" x14ac:dyDescent="0.15">
      <c r="D467" s="25"/>
    </row>
    <row r="468" spans="1:8" ht="12.75" x14ac:dyDescent="0.15">
      <c r="D468" s="25"/>
    </row>
    <row r="469" spans="1:8" ht="12.75" x14ac:dyDescent="0.15">
      <c r="D469" s="25"/>
    </row>
    <row r="470" spans="1:8" ht="12.75" x14ac:dyDescent="0.15">
      <c r="D470" s="25"/>
    </row>
    <row r="471" spans="1:8" ht="12.75" x14ac:dyDescent="0.15">
      <c r="D471" s="25"/>
    </row>
    <row r="472" spans="1:8" ht="17.45" customHeight="1" x14ac:dyDescent="0.2">
      <c r="A472" s="60"/>
      <c r="B472" s="60" t="s">
        <v>155</v>
      </c>
      <c r="D472" s="25"/>
    </row>
    <row r="473" spans="1:8" ht="14.25" x14ac:dyDescent="0.1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 x14ac:dyDescent="0.1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 x14ac:dyDescent="0.1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 x14ac:dyDescent="0.1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 x14ac:dyDescent="0.1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 x14ac:dyDescent="0.15">
      <c r="B478" s="18"/>
      <c r="C478" s="18"/>
      <c r="D478" s="19"/>
      <c r="E478" s="18"/>
      <c r="F478" s="18"/>
      <c r="G478" s="18"/>
    </row>
    <row r="479" spans="1:8" ht="14.25" x14ac:dyDescent="0.15">
      <c r="B479" s="52" t="s">
        <v>51</v>
      </c>
      <c r="C479" s="52" t="s">
        <v>52</v>
      </c>
      <c r="D479" s="52" t="s">
        <v>53</v>
      </c>
      <c r="E479" s="9"/>
    </row>
    <row r="480" spans="1:8" ht="14.25" x14ac:dyDescent="0.15">
      <c r="B480" s="32" t="s">
        <v>81</v>
      </c>
      <c r="C480" s="32" t="s">
        <v>81</v>
      </c>
      <c r="D480" s="32" t="s">
        <v>81</v>
      </c>
      <c r="E480" s="9"/>
    </row>
    <row r="481" spans="1:8" ht="14.25" x14ac:dyDescent="0.15">
      <c r="B481" s="34" t="s">
        <v>82</v>
      </c>
      <c r="C481" s="34" t="s">
        <v>82</v>
      </c>
      <c r="D481" s="34" t="s">
        <v>82</v>
      </c>
      <c r="E481" s="9"/>
    </row>
    <row r="482" spans="1:8" ht="14.25" x14ac:dyDescent="0.15">
      <c r="B482" s="34" t="s">
        <v>83</v>
      </c>
      <c r="C482" s="34" t="s">
        <v>83</v>
      </c>
      <c r="D482" s="34" t="s">
        <v>83</v>
      </c>
      <c r="E482" s="9"/>
    </row>
    <row r="483" spans="1:8" ht="14.25" x14ac:dyDescent="0.15">
      <c r="B483" s="34" t="s">
        <v>123</v>
      </c>
      <c r="C483" s="34" t="s">
        <v>123</v>
      </c>
      <c r="D483" s="35" t="s">
        <v>124</v>
      </c>
      <c r="E483" s="9"/>
    </row>
    <row r="484" spans="1:8" ht="12.75" x14ac:dyDescent="0.15">
      <c r="B484" s="18"/>
      <c r="C484" s="18"/>
      <c r="D484" s="19"/>
    </row>
    <row r="485" spans="1:8" ht="17.45" customHeight="1" x14ac:dyDescent="0.2">
      <c r="A485" s="60"/>
      <c r="B485" s="60" t="s">
        <v>156</v>
      </c>
      <c r="D485" s="25"/>
    </row>
    <row r="486" spans="1:8" ht="14.25" x14ac:dyDescent="0.1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 x14ac:dyDescent="0.1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 x14ac:dyDescent="0.1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 x14ac:dyDescent="0.1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 x14ac:dyDescent="0.1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 x14ac:dyDescent="0.15">
      <c r="B491" s="18"/>
      <c r="C491" s="18"/>
      <c r="D491" s="19"/>
      <c r="E491" s="18"/>
      <c r="F491" s="18"/>
      <c r="G491" s="18"/>
    </row>
    <row r="492" spans="1:8" ht="17.45" customHeight="1" x14ac:dyDescent="0.2">
      <c r="A492" s="60"/>
      <c r="B492" s="60" t="s">
        <v>157</v>
      </c>
      <c r="D492" s="25"/>
    </row>
    <row r="493" spans="1:8" ht="14.25" x14ac:dyDescent="0.1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 x14ac:dyDescent="0.1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 x14ac:dyDescent="0.1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 x14ac:dyDescent="0.1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 x14ac:dyDescent="0.1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 x14ac:dyDescent="0.15">
      <c r="B498" s="18"/>
      <c r="C498" s="18"/>
      <c r="D498" s="19"/>
      <c r="E498" s="18"/>
      <c r="F498" s="18"/>
      <c r="G498" s="18"/>
    </row>
    <row r="499" spans="1:8" ht="14.25" x14ac:dyDescent="0.1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 x14ac:dyDescent="0.1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 x14ac:dyDescent="0.1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 x14ac:dyDescent="0.1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 x14ac:dyDescent="0.1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 x14ac:dyDescent="0.15">
      <c r="B504" s="18"/>
      <c r="C504" s="18"/>
      <c r="D504" s="19"/>
      <c r="E504" s="18"/>
      <c r="F504" s="18"/>
      <c r="G504" s="18"/>
    </row>
    <row r="505" spans="1:8" ht="14.25" x14ac:dyDescent="0.1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 x14ac:dyDescent="0.1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 x14ac:dyDescent="0.1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 x14ac:dyDescent="0.1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 x14ac:dyDescent="0.15">
      <c r="B509" s="18"/>
      <c r="C509" s="18"/>
      <c r="D509" s="19"/>
      <c r="E509" s="18"/>
      <c r="F509" s="18"/>
      <c r="G509" s="18"/>
    </row>
    <row r="510" spans="1:8" ht="17.45" customHeight="1" x14ac:dyDescent="0.2">
      <c r="A510" s="55"/>
      <c r="B510" s="55" t="s">
        <v>164</v>
      </c>
      <c r="D510" s="25"/>
    </row>
    <row r="511" spans="1:8" ht="14.25" x14ac:dyDescent="0.1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 x14ac:dyDescent="0.1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 x14ac:dyDescent="0.1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 x14ac:dyDescent="0.1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 x14ac:dyDescent="0.1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 x14ac:dyDescent="0.15">
      <c r="B516" s="58"/>
      <c r="C516" s="64"/>
      <c r="D516" s="58"/>
      <c r="E516" s="64"/>
      <c r="F516" s="64"/>
      <c r="G516" s="65"/>
    </row>
    <row r="517" spans="1:8" ht="12.75" x14ac:dyDescent="0.15">
      <c r="B517" s="68"/>
      <c r="C517" s="69"/>
      <c r="D517" s="68"/>
      <c r="E517" s="69"/>
      <c r="F517" s="69"/>
      <c r="G517" s="70"/>
    </row>
    <row r="518" spans="1:8" ht="17.45" customHeight="1" x14ac:dyDescent="0.2">
      <c r="A518" s="55"/>
      <c r="B518" s="55" t="s">
        <v>165</v>
      </c>
      <c r="D518" s="25"/>
    </row>
    <row r="519" spans="1:8" ht="14.25" x14ac:dyDescent="0.1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 x14ac:dyDescent="0.1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 x14ac:dyDescent="0.1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 x14ac:dyDescent="0.1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 x14ac:dyDescent="0.1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 x14ac:dyDescent="0.15">
      <c r="B524" s="64"/>
      <c r="C524" s="64"/>
      <c r="D524" s="58"/>
      <c r="E524" s="64"/>
    </row>
    <row r="525" spans="1:8" ht="12.75" x14ac:dyDescent="0.15">
      <c r="D525" s="25"/>
    </row>
    <row r="526" spans="1:8" ht="17.45" customHeight="1" x14ac:dyDescent="0.2">
      <c r="A526" s="55"/>
      <c r="B526" s="55" t="s">
        <v>166</v>
      </c>
      <c r="D526" s="25"/>
    </row>
    <row r="527" spans="1:8" ht="14.25" x14ac:dyDescent="0.1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 x14ac:dyDescent="0.1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 x14ac:dyDescent="0.1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 x14ac:dyDescent="0.1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 x14ac:dyDescent="0.1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 x14ac:dyDescent="0.15">
      <c r="B532" s="18"/>
      <c r="C532" s="18"/>
      <c r="D532" s="19"/>
      <c r="E532" s="18"/>
      <c r="F532" s="18"/>
      <c r="G532" s="18"/>
    </row>
    <row r="533" spans="2:8" ht="14.25" x14ac:dyDescent="0.15">
      <c r="B533" s="56" t="s">
        <v>51</v>
      </c>
      <c r="C533" s="56" t="s">
        <v>52</v>
      </c>
      <c r="D533" s="38"/>
    </row>
    <row r="534" spans="2:8" ht="14.25" x14ac:dyDescent="0.15">
      <c r="B534" s="32" t="s">
        <v>82</v>
      </c>
      <c r="C534" s="32" t="s">
        <v>82</v>
      </c>
      <c r="D534" s="38"/>
    </row>
    <row r="535" spans="2:8" ht="14.25" x14ac:dyDescent="0.15">
      <c r="B535" s="34" t="s">
        <v>83</v>
      </c>
      <c r="C535" s="34" t="s">
        <v>83</v>
      </c>
      <c r="D535" s="38"/>
    </row>
    <row r="536" spans="2:8" ht="14.25" x14ac:dyDescent="0.15">
      <c r="B536" s="34" t="s">
        <v>145</v>
      </c>
      <c r="C536" s="34" t="s">
        <v>145</v>
      </c>
      <c r="D536" s="38"/>
    </row>
    <row r="537" spans="2:8" ht="14.25" x14ac:dyDescent="0.15">
      <c r="B537" s="35" t="s">
        <v>124</v>
      </c>
      <c r="C537" s="35" t="s">
        <v>124</v>
      </c>
      <c r="D537" s="38"/>
    </row>
    <row r="538" spans="2:8" ht="12.75" x14ac:dyDescent="0.15">
      <c r="B538" s="18"/>
      <c r="C538" s="18"/>
      <c r="D538" s="25"/>
    </row>
    <row r="539" spans="2:8" ht="12.75" x14ac:dyDescent="0.15">
      <c r="D539" s="25"/>
    </row>
    <row r="540" spans="2:8" ht="14.25" x14ac:dyDescent="0.1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 x14ac:dyDescent="0.1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 x14ac:dyDescent="0.1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 x14ac:dyDescent="0.1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 x14ac:dyDescent="0.15">
      <c r="B544" s="18"/>
      <c r="C544" s="18"/>
      <c r="D544" s="19"/>
      <c r="E544" s="18"/>
      <c r="F544" s="18"/>
      <c r="G544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51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41" sqref="C41:O4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297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298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299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10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漢字の広場⑥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漢字の広場⑥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モチモチの木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モチモチの木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じしゃくのふしぎをしらべよう</v>
      </c>
      <c r="P4" s="88" t="str">
        <f>LOOKUP(P21,$X$2:$Y$43,$Y$2:$Y$43)</f>
        <v>現</v>
      </c>
      <c r="Q4" s="9"/>
      <c r="R4" s="299"/>
      <c r="S4" s="94">
        <v>3</v>
      </c>
      <c r="T4" s="95" t="s">
        <v>300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間の数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かわってきた人々のくらし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間の数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 t="s">
        <v>301</v>
      </c>
      <c r="U5" s="93">
        <f>COUNTIF(C21:O34,"=4")</f>
        <v>1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つなぎことば・こそあどことば（小2）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かくれた 数は いくつ（小2）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かくれた 数は いくつ（小2）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かくれた 数は いくつ（小2）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わたしの三大ニュース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わたしの三大ニュース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「　」と『　』のちがい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はじめ・中・おわり（小2）</v>
      </c>
      <c r="D10" s="101" t="str">
        <f t="shared" si="4"/>
        <v>ス</v>
      </c>
      <c r="E10" s="100" t="str">
        <f t="shared" si="4"/>
        <v>算　数</v>
      </c>
      <c r="F10" s="101" t="str">
        <f>LOOKUP(F27,$S$2:$T$69,$T$2:$T$69)</f>
        <v>□をつかった式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「丸、点、かぎ」（小2）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302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どんな計算になるかな(1)（小2）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どんな計算になるかな(1)（小2）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303</v>
      </c>
      <c r="U12" s="93">
        <f>COUNTIF(C21:O34,"=11")</f>
        <v>1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304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305</v>
      </c>
      <c r="U14" s="93">
        <f>COUNTIF(C21:O34,"=13")</f>
        <v>1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3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10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306</v>
      </c>
      <c r="U19" s="82">
        <f>COUNTIF(C21:O34,"=22")</f>
        <v>2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307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 t="s">
        <v>308</v>
      </c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309</v>
      </c>
      <c r="U24" s="82">
        <f>COUNTIF(C21:O34,"=27")</f>
        <v>3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310</v>
      </c>
      <c r="U25" s="93">
        <f>COUNTIF(C21:O34,"=28")</f>
        <v>2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12</v>
      </c>
      <c r="D27" s="119">
        <v>51</v>
      </c>
      <c r="E27" s="116" t="s">
        <v>214</v>
      </c>
      <c r="F27" s="117">
        <v>23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220</v>
      </c>
      <c r="F28" s="117">
        <v>39</v>
      </c>
      <c r="G28" s="119">
        <v>51</v>
      </c>
      <c r="H28" s="116" t="s">
        <v>211</v>
      </c>
      <c r="I28" s="117">
        <v>13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5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8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311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70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313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4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4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1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6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41" sqref="C41:O4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317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298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299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漢字の広場⑥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漢字の広場⑥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モチモチの木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わたしの三大ニュース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わたしの三大ニュース</v>
      </c>
      <c r="P4" s="88" t="str">
        <f>LOOKUP(P21,$X$2:$Y$43,$Y$2:$Y$43)</f>
        <v>現</v>
      </c>
      <c r="Q4" s="9"/>
      <c r="R4" s="299"/>
      <c r="S4" s="94">
        <v>3</v>
      </c>
      <c r="T4" s="95" t="s">
        <v>300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間の数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モチモチの木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□をつかった式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もうすぐ4年生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かわってきた人々のくらし</v>
      </c>
      <c r="P5" s="101" t="str">
        <f>LOOKUP(P22,$X$2:$Y$43,$Y$2:$Y$43)</f>
        <v>現</v>
      </c>
      <c r="Q5" s="9"/>
      <c r="R5" s="299"/>
      <c r="S5" s="94">
        <v>4</v>
      </c>
      <c r="T5" s="95" t="s">
        <v>301</v>
      </c>
      <c r="U5" s="93">
        <f>COUNTIF(C21:O34,"=4")</f>
        <v>1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間の数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じしゃくのふしぎをしらべよう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かくれた 数は いくつ（小2）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どんな計算になるかな(1)（小2）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「　」と『　』のちがい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「丸、点、かぎ」（小2）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302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303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304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305</v>
      </c>
      <c r="U14" s="93">
        <f>COUNTIF(C21:O34,"=13")</f>
        <v>1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1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8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306</v>
      </c>
      <c r="U19" s="82">
        <f>COUNTIF(C21:O34,"=22")</f>
        <v>2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307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99"/>
      <c r="S21" s="94">
        <v>24</v>
      </c>
      <c r="T21" s="95" t="s">
        <v>308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220</v>
      </c>
      <c r="O22" s="117">
        <v>35</v>
      </c>
      <c r="P22" s="118">
        <v>50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39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218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28</v>
      </c>
      <c r="P24" s="139">
        <v>51</v>
      </c>
      <c r="Q24" s="9"/>
      <c r="R24" s="299"/>
      <c r="S24" s="87">
        <v>27</v>
      </c>
      <c r="T24" s="91" t="s">
        <v>309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310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13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311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70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313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4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C41" sqref="C41:O4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321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298</v>
      </c>
      <c r="U2" s="82">
        <f>COUNTIF(C21:O34,"=1")</f>
        <v>1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299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漢字の広場⑥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モチモチの木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モチモチの木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わたしの三大ニュース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300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かわってきた人々のくらし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□をつかった式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もうすぐ4年生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「　」と『　』のちがい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 t="s">
        <v>301</v>
      </c>
      <c r="U5" s="93">
        <f>COUNTIF(C21:O34,"=4")</f>
        <v>1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間の数</v>
      </c>
      <c r="D6" s="101" t="str">
        <f t="shared" si="0"/>
        <v>現</v>
      </c>
      <c r="E6" s="100" t="str">
        <f t="shared" si="0"/>
        <v>社　会</v>
      </c>
      <c r="F6" s="101" t="str">
        <f>LOOKUP(F23,$S$2:$T$69,$T$2:$T$69)</f>
        <v>かわってきた人々のくらし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じしゃくのふしぎをしらべよう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じしゃくのふしぎをしらべよう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かくれた 数は いくつ（小2）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5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302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303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304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305</v>
      </c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5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306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307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 t="s">
        <v>308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214</v>
      </c>
      <c r="I22" s="117">
        <v>24</v>
      </c>
      <c r="J22" s="118">
        <v>50</v>
      </c>
      <c r="K22" s="116" t="s">
        <v>211</v>
      </c>
      <c r="L22" s="117">
        <v>4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220</v>
      </c>
      <c r="F23" s="117">
        <v>35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218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309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310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1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311</v>
      </c>
      <c r="U33" s="82">
        <f>COUNTIF(C21:O34,"=35")</f>
        <v>2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99"/>
      <c r="S38" s="82"/>
      <c r="T38" s="108" t="s">
        <v>253</v>
      </c>
      <c r="U38" s="105">
        <f>SUM(U33:U37)</f>
        <v>3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70</v>
      </c>
      <c r="G39" s="306"/>
      <c r="H39" s="306"/>
      <c r="I39" s="315" t="s">
        <v>125</v>
      </c>
      <c r="J39" s="308"/>
      <c r="K39" s="308"/>
      <c r="L39" s="315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313</v>
      </c>
      <c r="U39" s="82">
        <f>COUNTIF(C21:O34,"=40")</f>
        <v>2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140</v>
      </c>
      <c r="D40" s="311"/>
      <c r="E40" s="311"/>
      <c r="F40" s="310" t="s">
        <v>114</v>
      </c>
      <c r="G40" s="311"/>
      <c r="H40" s="311"/>
      <c r="I40" s="310" t="s">
        <v>136</v>
      </c>
      <c r="J40" s="312"/>
      <c r="K40" s="312"/>
      <c r="L40" s="310" t="s">
        <v>108</v>
      </c>
      <c r="M40" s="311"/>
      <c r="N40" s="311"/>
      <c r="O40" s="134" t="s">
        <v>278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114</v>
      </c>
      <c r="D41" s="311"/>
      <c r="E41" s="311"/>
      <c r="F41" s="310" t="s">
        <v>116</v>
      </c>
      <c r="G41" s="311"/>
      <c r="H41" s="311"/>
      <c r="I41" s="310" t="s">
        <v>141</v>
      </c>
      <c r="J41" s="312"/>
      <c r="K41" s="312"/>
      <c r="L41" s="310" t="s">
        <v>116</v>
      </c>
      <c r="M41" s="311"/>
      <c r="N41" s="311"/>
      <c r="O41" s="134" t="s">
        <v>279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142</v>
      </c>
      <c r="D42" s="311"/>
      <c r="E42" s="311"/>
      <c r="F42" s="310" t="s">
        <v>115</v>
      </c>
      <c r="G42" s="311"/>
      <c r="H42" s="311"/>
      <c r="I42" s="310" t="s">
        <v>116</v>
      </c>
      <c r="J42" s="312"/>
      <c r="K42" s="312"/>
      <c r="L42" s="310" t="s">
        <v>115</v>
      </c>
      <c r="M42" s="311"/>
      <c r="N42" s="311"/>
      <c r="O42" s="134" t="s">
        <v>280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0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0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0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8" sqref="J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322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323</v>
      </c>
      <c r="U2" s="82">
        <f>COUNTIF(C21:O34,"=1")</f>
        <v>1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324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まちがえやすい漢字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初雪のふる日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初雪のふる日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漢字の広場⑥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自然の中の水</v>
      </c>
      <c r="P4" s="88" t="str">
        <f>LOOKUP(P21,$X$2:$Y$43,$Y$2:$Y$43)</f>
        <v>現</v>
      </c>
      <c r="Q4" s="9"/>
      <c r="R4" s="299"/>
      <c r="S4" s="94">
        <v>3</v>
      </c>
      <c r="T4" s="95" t="s">
        <v>298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直方体と立方体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わたしたちの県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直方体と立方体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 t="s">
        <v>325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漢字の音と訓（小3）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99"/>
      <c r="S6" s="94">
        <v>5</v>
      </c>
      <c r="T6" s="95" t="s">
        <v>326</v>
      </c>
      <c r="U6" s="93">
        <f>COUNTIF(C21:O34,"=5")</f>
        <v>1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三角形と四角形（小2）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三角形と四角形（小2）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三角形と四角形（小2）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十年後のわたしへ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十年後のわたしへ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動詞の働き・種類・形の変化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算　数</v>
      </c>
      <c r="F10" s="101" t="str">
        <f>LOOKUP(F27,$S$2:$T$69,$T$2:$T$69)</f>
        <v>だれでしょう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327</v>
      </c>
      <c r="U11" s="82">
        <f>COUNTIF(C21:O34,"=10")</f>
        <v>1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はこの形（小2）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はこの形（小2）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328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300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1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8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329</v>
      </c>
      <c r="U19" s="82">
        <f>COUNTIF(C21:O34,"=22")</f>
        <v>2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330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 t="s">
        <v>331</v>
      </c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332</v>
      </c>
      <c r="U24" s="82">
        <f>COUNTIF(C21:O34,"=27")</f>
        <v>3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333</v>
      </c>
      <c r="U25" s="93">
        <f>COUNTIF(C21:O34,"=28")</f>
        <v>2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214</v>
      </c>
      <c r="F27" s="117">
        <v>23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220</v>
      </c>
      <c r="F28" s="117">
        <v>39</v>
      </c>
      <c r="G28" s="119">
        <v>51</v>
      </c>
      <c r="H28" s="116" t="s">
        <v>209</v>
      </c>
      <c r="I28" s="117">
        <v>57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5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8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334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70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335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3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2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2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9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D28" sqref="D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336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323</v>
      </c>
      <c r="U2" s="82">
        <f>COUNTIF(C21:O34,"=1")</f>
        <v>1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324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まちがえやすい漢字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初雪のふる日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漢字の広場⑥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十年後のわたしへ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十年後のわたしへ</v>
      </c>
      <c r="P4" s="88" t="str">
        <f>LOOKUP(P21,$X$2:$Y$43,$Y$2:$Y$43)</f>
        <v>現</v>
      </c>
      <c r="Q4" s="9"/>
      <c r="R4" s="299"/>
      <c r="S4" s="94">
        <v>3</v>
      </c>
      <c r="T4" s="95" t="s">
        <v>298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直方体と立方体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初雪のふる日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だれでしょう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もうすぐ5年生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わたしたちの県</v>
      </c>
      <c r="P5" s="101" t="str">
        <f>LOOKUP(P22,$X$2:$Y$43,$Y$2:$Y$43)</f>
        <v>現</v>
      </c>
      <c r="Q5" s="9"/>
      <c r="R5" s="299"/>
      <c r="S5" s="94">
        <v>4</v>
      </c>
      <c r="T5" s="95" t="s">
        <v>325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漢字の音と訓（小3）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直方体と立方体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自然の中の水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299"/>
      <c r="S6" s="94">
        <v>5</v>
      </c>
      <c r="T6" s="95" t="s">
        <v>326</v>
      </c>
      <c r="U6" s="93">
        <f>COUNTIF(C21:O34,"=5")</f>
        <v>1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三角形と四角形（小2）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はこの形（小2）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1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動詞の働き・種類・形の変化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327</v>
      </c>
      <c r="U11" s="82">
        <f>COUNTIF(C21:O34,"=10")</f>
        <v>1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328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300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1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8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329</v>
      </c>
      <c r="U19" s="82">
        <f>COUNTIF(C21:O34,"=22")</f>
        <v>2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330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299"/>
      <c r="S21" s="94">
        <v>24</v>
      </c>
      <c r="T21" s="95" t="s">
        <v>331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220</v>
      </c>
      <c r="O22" s="117">
        <v>35</v>
      </c>
      <c r="P22" s="118">
        <v>50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218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28</v>
      </c>
      <c r="P24" s="139">
        <v>51</v>
      </c>
      <c r="Q24" s="9"/>
      <c r="R24" s="299"/>
      <c r="S24" s="87">
        <v>27</v>
      </c>
      <c r="T24" s="91" t="s">
        <v>332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333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334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0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1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70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335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5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12" sqref="F1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337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323</v>
      </c>
      <c r="U2" s="82">
        <f>COUNTIF(C21:O34,"=1")</f>
        <v>1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324</v>
      </c>
      <c r="U3" s="93">
        <f>COUNTIF(C21:O34,"=2")</f>
        <v>1</v>
      </c>
      <c r="V3" s="299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まちがえやすい漢字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初雪のふる日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漢字の広場⑥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十年後のわたしへ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298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わたしたちの県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だれでしょう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もうすぐ5年生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動詞の働き・種類・形の変化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 t="s">
        <v>325</v>
      </c>
      <c r="U5" s="93">
        <f>COUNTIF(C21:O34,"=4")</f>
        <v>1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直方体と立方体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自然の中の水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自然の中の水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 t="s">
        <v>326</v>
      </c>
      <c r="U6" s="93">
        <f>COUNTIF(C21:O34,"=5")</f>
        <v>1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三角形と四角形（小2）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5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327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328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300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5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329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330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 t="s">
        <v>331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214</v>
      </c>
      <c r="I22" s="117">
        <v>24</v>
      </c>
      <c r="J22" s="118">
        <v>50</v>
      </c>
      <c r="K22" s="116" t="s">
        <v>211</v>
      </c>
      <c r="L22" s="117">
        <v>5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224</v>
      </c>
      <c r="F23" s="117">
        <v>47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218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332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333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1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334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70</v>
      </c>
      <c r="G39" s="306"/>
      <c r="H39" s="306"/>
      <c r="I39" s="315" t="s">
        <v>125</v>
      </c>
      <c r="J39" s="308"/>
      <c r="K39" s="308"/>
      <c r="L39" s="315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335</v>
      </c>
      <c r="U39" s="82">
        <f>COUNTIF(C21:O34,"=40")</f>
        <v>2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140</v>
      </c>
      <c r="D40" s="311"/>
      <c r="E40" s="311"/>
      <c r="F40" s="310" t="s">
        <v>114</v>
      </c>
      <c r="G40" s="311"/>
      <c r="H40" s="311"/>
      <c r="I40" s="310" t="s">
        <v>136</v>
      </c>
      <c r="J40" s="312"/>
      <c r="K40" s="312"/>
      <c r="L40" s="310" t="s">
        <v>108</v>
      </c>
      <c r="M40" s="311"/>
      <c r="N40" s="311"/>
      <c r="O40" s="134" t="s">
        <v>278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114</v>
      </c>
      <c r="D41" s="311"/>
      <c r="E41" s="311"/>
      <c r="F41" s="310" t="s">
        <v>116</v>
      </c>
      <c r="G41" s="311"/>
      <c r="H41" s="311"/>
      <c r="I41" s="310" t="s">
        <v>141</v>
      </c>
      <c r="J41" s="312"/>
      <c r="K41" s="312"/>
      <c r="L41" s="310" t="s">
        <v>116</v>
      </c>
      <c r="M41" s="311"/>
      <c r="N41" s="311"/>
      <c r="O41" s="134" t="s">
        <v>279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142</v>
      </c>
      <c r="D42" s="311"/>
      <c r="E42" s="311"/>
      <c r="F42" s="310" t="s">
        <v>115</v>
      </c>
      <c r="G42" s="311"/>
      <c r="H42" s="311"/>
      <c r="I42" s="310" t="s">
        <v>116</v>
      </c>
      <c r="J42" s="312"/>
      <c r="K42" s="312"/>
      <c r="L42" s="310" t="s">
        <v>115</v>
      </c>
      <c r="M42" s="311"/>
      <c r="N42" s="311"/>
      <c r="O42" s="134" t="s">
        <v>280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1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1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0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D28" sqref="D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338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339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8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298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一まいの写真から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一まいの写真から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漢字の広場⑥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漢字の広場⑥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ふりこの動き</v>
      </c>
      <c r="P4" s="88" t="str">
        <f>LOOKUP(P21,$X$2:$Y$43,$Y$2:$Y$43)</f>
        <v>現</v>
      </c>
      <c r="Q4" s="9"/>
      <c r="R4" s="299"/>
      <c r="S4" s="94">
        <v>3</v>
      </c>
      <c r="T4" s="95" t="s">
        <v>340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円と正多角形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世界とつながる日本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角柱と円柱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 t="s">
        <v>341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図　工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円と球（小3）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直方体と立方体（小4）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円と球（小3）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 t="s">
        <v>294</v>
      </c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六年生になったら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単文・複文・重文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単文・複文・重文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社　会</v>
      </c>
      <c r="C10" s="101" t="str">
        <f>LOOKUP(C27,$S$2:$T$69,$T$2:$T$69)</f>
        <v>学習用具・教科用語</v>
      </c>
      <c r="D10" s="101" t="str">
        <f t="shared" si="4"/>
        <v>ス</v>
      </c>
      <c r="E10" s="100" t="str">
        <f t="shared" si="4"/>
        <v>算　数</v>
      </c>
      <c r="F10" s="101" t="str">
        <f>LOOKUP(F27,$S$2:$T$69,$T$2:$T$69)</f>
        <v>変わり方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家庭生活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文・文節（4年）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主語と述語（2年）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342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□をつかった式 （小3）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学校生活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343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344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345</v>
      </c>
      <c r="U14" s="93">
        <f>COUNTIF(C21:O34,"=13")</f>
        <v>1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2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9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346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347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 t="s">
        <v>348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 t="s">
        <v>349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222</v>
      </c>
      <c r="O23" s="117">
        <v>47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350</v>
      </c>
      <c r="U24" s="82">
        <f>COUNTIF(C21:O34,"=27")</f>
        <v>2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351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4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352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220</v>
      </c>
      <c r="C27" s="117">
        <v>39</v>
      </c>
      <c r="D27" s="119">
        <v>51</v>
      </c>
      <c r="E27" s="116" t="s">
        <v>214</v>
      </c>
      <c r="F27" s="117">
        <v>24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58</v>
      </c>
      <c r="D28" s="119">
        <v>51</v>
      </c>
      <c r="E28" s="116" t="s">
        <v>211</v>
      </c>
      <c r="F28" s="117">
        <v>12</v>
      </c>
      <c r="G28" s="119">
        <v>51</v>
      </c>
      <c r="H28" s="116" t="s">
        <v>211</v>
      </c>
      <c r="I28" s="117">
        <v>13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209</v>
      </c>
      <c r="I29" s="117">
        <v>59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4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7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353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70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354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4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4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2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2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8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11" sqref="I1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355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339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298</v>
      </c>
      <c r="U3" s="93">
        <f>COUNTIF(C21:O34,"=2")</f>
        <v>1</v>
      </c>
      <c r="V3" s="299"/>
      <c r="W3" s="9"/>
      <c r="X3" s="96" t="s">
        <v>211</v>
      </c>
      <c r="Y3" s="95" t="s">
        <v>212</v>
      </c>
      <c r="Z3" s="93">
        <f>COUNTIF(B21:P34,"=b")</f>
        <v>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一まいの写真から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一まいの写真から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漢字の広場⑥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六年生になったら</v>
      </c>
      <c r="M4" s="88" t="str">
        <f t="shared" ref="M4:N7" si="3">LOOKUP(M21,$X$2:$Y$43,$Y$2:$Y$43)</f>
        <v>現</v>
      </c>
      <c r="N4" s="98" t="str">
        <f t="shared" si="3"/>
        <v>算　数</v>
      </c>
      <c r="O4" s="88" t="str">
        <f>LOOKUP(O21,$S$2:$T$69,$T$2:$T$69)</f>
        <v>変わり方</v>
      </c>
      <c r="P4" s="88" t="str">
        <f>LOOKUP(P21,$X$2:$Y$43,$Y$2:$Y$43)</f>
        <v>現</v>
      </c>
      <c r="Q4" s="9"/>
      <c r="R4" s="299"/>
      <c r="S4" s="94">
        <v>3</v>
      </c>
      <c r="T4" s="95" t="s">
        <v>340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世界とつながる日本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円と正多角形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角柱と円柱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単文・複文・重文</v>
      </c>
      <c r="M5" s="101" t="str">
        <f t="shared" si="3"/>
        <v>現</v>
      </c>
      <c r="N5" s="100" t="str">
        <f t="shared" si="3"/>
        <v>日本語</v>
      </c>
      <c r="O5" s="101" t="str">
        <f>LOOKUP(O22,$S$2:$T$69,$T$2:$T$69)</f>
        <v>日本の文化</v>
      </c>
      <c r="P5" s="101" t="str">
        <f>LOOKUP(P22,$X$2:$Y$43,$Y$2:$Y$43)</f>
        <v>ス</v>
      </c>
      <c r="Q5" s="9"/>
      <c r="R5" s="299"/>
      <c r="S5" s="94">
        <v>4</v>
      </c>
      <c r="T5" s="95" t="s">
        <v>341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円と正多角形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ふりこの動き</v>
      </c>
      <c r="J6" s="101" t="str">
        <f t="shared" si="2"/>
        <v>現</v>
      </c>
      <c r="K6" s="100" t="str">
        <f t="shared" si="2"/>
        <v>算　数</v>
      </c>
      <c r="L6" s="101" t="str">
        <f>LOOKUP(L23,$S$2:$T$69,$T$2:$T$69)</f>
        <v>直方体と立方体（小4）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円と球（小3）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 t="s">
        <v>294</v>
      </c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単文・複文・重文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2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6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342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343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344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345</v>
      </c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6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346</v>
      </c>
      <c r="U19" s="82">
        <f>COUNTIF(C21:O34,"=22")</f>
        <v>2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347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214</v>
      </c>
      <c r="O21" s="114">
        <v>24</v>
      </c>
      <c r="P21" s="115">
        <v>50</v>
      </c>
      <c r="Q21" s="9"/>
      <c r="R21" s="299"/>
      <c r="S21" s="94">
        <v>24</v>
      </c>
      <c r="T21" s="95" t="s">
        <v>348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211</v>
      </c>
      <c r="L22" s="117">
        <v>4</v>
      </c>
      <c r="M22" s="118">
        <v>50</v>
      </c>
      <c r="N22" s="116" t="s">
        <v>209</v>
      </c>
      <c r="O22" s="117">
        <v>53</v>
      </c>
      <c r="P22" s="119">
        <v>51</v>
      </c>
      <c r="Q22" s="9"/>
      <c r="R22" s="299"/>
      <c r="S22" s="94">
        <v>25</v>
      </c>
      <c r="T22" s="95" t="s">
        <v>349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224</v>
      </c>
      <c r="F23" s="117">
        <v>47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214</v>
      </c>
      <c r="L23" s="117">
        <v>28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350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351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352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353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70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354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1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5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4" sqref="J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356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339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298</v>
      </c>
      <c r="U3" s="93">
        <f>COUNTIF(C21:O34,"=2")</f>
        <v>1</v>
      </c>
      <c r="V3" s="299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一まいの写真から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一まいの写真から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漢字の広場⑥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六年生になったら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340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世界とつながる日本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角柱と円柱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変わり方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単文・複文・重文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 t="s">
        <v>341</v>
      </c>
      <c r="U5" s="93">
        <f>COUNTIF(C21:O34,"=4")</f>
        <v>1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円と正多角形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ふりこの動き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ふりこの動き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直方体と立方体（小4）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 t="s">
        <v>294</v>
      </c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5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342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343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344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345</v>
      </c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5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346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347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 t="s">
        <v>348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214</v>
      </c>
      <c r="I22" s="117">
        <v>24</v>
      </c>
      <c r="J22" s="118">
        <v>50</v>
      </c>
      <c r="K22" s="116" t="s">
        <v>211</v>
      </c>
      <c r="L22" s="117">
        <v>4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 t="s">
        <v>349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224</v>
      </c>
      <c r="F23" s="117">
        <v>47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218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350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351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352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1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353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70</v>
      </c>
      <c r="G39" s="306"/>
      <c r="H39" s="306"/>
      <c r="I39" s="315" t="s">
        <v>125</v>
      </c>
      <c r="J39" s="308"/>
      <c r="K39" s="308"/>
      <c r="L39" s="315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354</v>
      </c>
      <c r="U39" s="82">
        <f>COUNTIF(C21:O34,"=40")</f>
        <v>2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140</v>
      </c>
      <c r="D40" s="311"/>
      <c r="E40" s="311"/>
      <c r="F40" s="310" t="s">
        <v>114</v>
      </c>
      <c r="G40" s="311"/>
      <c r="H40" s="311"/>
      <c r="I40" s="310" t="s">
        <v>136</v>
      </c>
      <c r="J40" s="312"/>
      <c r="K40" s="312"/>
      <c r="L40" s="310" t="s">
        <v>108</v>
      </c>
      <c r="M40" s="311"/>
      <c r="N40" s="311"/>
      <c r="O40" s="134" t="s">
        <v>278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114</v>
      </c>
      <c r="D41" s="311"/>
      <c r="E41" s="311"/>
      <c r="F41" s="310" t="s">
        <v>116</v>
      </c>
      <c r="G41" s="311"/>
      <c r="H41" s="311"/>
      <c r="I41" s="310" t="s">
        <v>141</v>
      </c>
      <c r="J41" s="312"/>
      <c r="K41" s="312"/>
      <c r="L41" s="310" t="s">
        <v>116</v>
      </c>
      <c r="M41" s="311"/>
      <c r="N41" s="311"/>
      <c r="O41" s="134" t="s">
        <v>279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142</v>
      </c>
      <c r="D42" s="311"/>
      <c r="E42" s="311"/>
      <c r="F42" s="310" t="s">
        <v>115</v>
      </c>
      <c r="G42" s="311"/>
      <c r="H42" s="311"/>
      <c r="I42" s="310" t="s">
        <v>116</v>
      </c>
      <c r="J42" s="312"/>
      <c r="K42" s="312"/>
      <c r="L42" s="310" t="s">
        <v>115</v>
      </c>
      <c r="M42" s="311"/>
      <c r="N42" s="311"/>
      <c r="O42" s="134" t="s">
        <v>280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1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1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0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1" sqref="J2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357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358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359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生きる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生きる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生きる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生き物は かなえられた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生物と地球環境</v>
      </c>
      <c r="P4" s="88" t="str">
        <f>LOOKUP(P21,$X$2:$Y$43,$Y$2:$Y$43)</f>
        <v>現</v>
      </c>
      <c r="Q4" s="9"/>
      <c r="R4" s="299"/>
      <c r="S4" s="94">
        <v>3</v>
      </c>
      <c r="T4" s="95" t="s">
        <v>360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6年のまとめ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世界の未来と日本の役割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6年のまとめ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形よう詞（小4）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数と量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計算と見積もり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図形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生き物は かなえられた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言葉の種類（形容詞・形容動詞）</v>
      </c>
      <c r="G9" s="88" t="str">
        <f t="shared" ref="G9:H12" si="5">LOOKUP(G26,$X$2:$Y$43,$Y$2:$Y$43)</f>
        <v>現</v>
      </c>
      <c r="H9" s="98" t="str">
        <f t="shared" si="5"/>
        <v>算　数</v>
      </c>
      <c r="I9" s="88" t="str">
        <f>LOOKUP(I26,$S$2:$T$69,$T$2:$T$69)</f>
        <v>6年のまとめ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様子を表す言葉（小2）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言葉の種類（形容詞・形容動詞）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361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数量の関係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問題の見方・考え方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362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363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364</v>
      </c>
      <c r="U14" s="93">
        <f>COUNTIF(C21:O34,"=13")</f>
        <v>1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2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9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365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211</v>
      </c>
      <c r="O23" s="117">
        <v>12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366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367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214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368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13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 t="s">
        <v>369</v>
      </c>
      <c r="U27" s="93">
        <f>COUNTIF(C21:O34,"=30")</f>
        <v>1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220</v>
      </c>
      <c r="F28" s="117">
        <v>39</v>
      </c>
      <c r="G28" s="119">
        <v>51</v>
      </c>
      <c r="H28" s="116" t="s">
        <v>209</v>
      </c>
      <c r="I28" s="117">
        <v>57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 t="s">
        <v>370</v>
      </c>
      <c r="U28" s="93">
        <f>COUNTIF(C21:O34,"=31")</f>
        <v>1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5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8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371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70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372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4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4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3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1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7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1" colorId="22" zoomScale="92" zoomScaleNormal="92" workbookViewId="0">
      <selection activeCell="E58" sqref="E58 C55:E58"/>
    </sheetView>
  </sheetViews>
  <sheetFormatPr defaultColWidth="10.85546875" defaultRowHeight="11.65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257" t="s">
        <v>3</v>
      </c>
      <c r="E8" s="258"/>
      <c r="F8" s="258"/>
      <c r="G8" s="258"/>
      <c r="H8" s="9"/>
    </row>
    <row r="9" spans="2:8" ht="14.65" customHeight="1" x14ac:dyDescent="0.15">
      <c r="B9" s="257" t="s">
        <v>4</v>
      </c>
      <c r="C9" s="259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257" t="s">
        <v>9</v>
      </c>
      <c r="C10" s="260"/>
      <c r="D10" s="10"/>
      <c r="E10" s="10"/>
      <c r="F10" s="10"/>
      <c r="G10" s="10"/>
      <c r="H10" s="9"/>
    </row>
    <row r="11" spans="2:8" ht="14.65" customHeight="1" x14ac:dyDescent="0.15">
      <c r="B11" s="261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262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262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 x14ac:dyDescent="0.15">
      <c r="B14" s="262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263" t="s">
        <v>24</v>
      </c>
      <c r="C15" s="260"/>
      <c r="D15" s="259"/>
      <c r="E15" s="259"/>
      <c r="F15" s="259"/>
      <c r="G15" s="259"/>
      <c r="H15" s="9"/>
    </row>
    <row r="16" spans="2:8" ht="14.65" customHeight="1" x14ac:dyDescent="0.15">
      <c r="B16" s="261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262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 x14ac:dyDescent="0.15">
      <c r="B18" s="262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 x14ac:dyDescent="0.15">
      <c r="B19" s="262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263" t="s">
        <v>24</v>
      </c>
      <c r="C20" s="260"/>
      <c r="D20" s="259"/>
      <c r="E20" s="259"/>
      <c r="F20" s="259"/>
      <c r="G20" s="259"/>
      <c r="H20" s="9"/>
    </row>
    <row r="21" spans="2:8" ht="14.65" customHeight="1" x14ac:dyDescent="0.15">
      <c r="B21" s="261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262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 x14ac:dyDescent="0.15">
      <c r="B23" s="262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264" t="s">
        <v>34</v>
      </c>
      <c r="C26" s="265"/>
      <c r="D26" s="266"/>
      <c r="E26" s="265"/>
      <c r="F26" s="265"/>
      <c r="G26" s="265"/>
      <c r="H26" s="23"/>
    </row>
    <row r="27" spans="2:8" ht="14.65" customHeight="1" x14ac:dyDescent="0.15">
      <c r="B27" s="267" t="s">
        <v>35</v>
      </c>
      <c r="C27" s="268"/>
      <c r="D27" s="269"/>
      <c r="E27" s="268"/>
      <c r="F27" s="268"/>
      <c r="G27" s="268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5.6" customHeight="1" x14ac:dyDescent="0.2">
      <c r="A36" s="29"/>
      <c r="B36" s="71" t="s">
        <v>167</v>
      </c>
      <c r="D36" s="25"/>
    </row>
    <row r="37" spans="1:8" ht="13.5" customHeight="1" x14ac:dyDescent="0.15">
      <c r="B37" s="39" t="s">
        <v>68</v>
      </c>
      <c r="C37" s="72" t="s">
        <v>90</v>
      </c>
      <c r="D37" s="72" t="s">
        <v>70</v>
      </c>
      <c r="E37" s="9"/>
    </row>
    <row r="38" spans="1:8" ht="13.5" customHeight="1" x14ac:dyDescent="0.15">
      <c r="B38" s="41" t="s">
        <v>71</v>
      </c>
      <c r="C38" s="67" t="s">
        <v>72</v>
      </c>
      <c r="D38" s="67" t="s">
        <v>73</v>
      </c>
      <c r="E38" s="9"/>
    </row>
    <row r="39" spans="1:8" ht="13.5" customHeight="1" x14ac:dyDescent="0.15">
      <c r="B39" s="66" t="s">
        <v>74</v>
      </c>
      <c r="C39" s="73" t="s">
        <v>75</v>
      </c>
      <c r="D39" s="73" t="s">
        <v>76</v>
      </c>
      <c r="E39" s="9"/>
    </row>
    <row r="40" spans="1:8" ht="13.5" customHeight="1" x14ac:dyDescent="0.15">
      <c r="B40" s="66" t="s">
        <v>77</v>
      </c>
      <c r="C40" s="73" t="s">
        <v>78</v>
      </c>
      <c r="D40" s="73" t="s">
        <v>79</v>
      </c>
      <c r="E40" s="9"/>
    </row>
    <row r="41" spans="1:8" ht="5.65" customHeight="1" x14ac:dyDescent="0.15">
      <c r="B41" s="18"/>
      <c r="C41" s="18"/>
      <c r="D41" s="19"/>
    </row>
    <row r="42" spans="1:8" ht="15.6" customHeight="1" x14ac:dyDescent="0.2">
      <c r="A42" s="43"/>
      <c r="B42" s="74" t="s">
        <v>168</v>
      </c>
      <c r="D42" s="25"/>
    </row>
    <row r="43" spans="1:8" ht="13.5" customHeight="1" x14ac:dyDescent="0.15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 x14ac:dyDescent="0.15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 x14ac:dyDescent="0.15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 x14ac:dyDescent="0.15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 x14ac:dyDescent="0.15">
      <c r="B47" s="18"/>
      <c r="C47" s="18"/>
      <c r="D47" s="19"/>
      <c r="E47" s="18"/>
    </row>
    <row r="48" spans="1:8" ht="15.6" customHeight="1" x14ac:dyDescent="0.2">
      <c r="A48" s="51"/>
      <c r="B48" s="76" t="s">
        <v>176</v>
      </c>
      <c r="D48" s="25"/>
    </row>
    <row r="49" spans="1:8" ht="13.5" customHeight="1" x14ac:dyDescent="0.15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 x14ac:dyDescent="0.15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 x14ac:dyDescent="0.15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 x14ac:dyDescent="0.15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 x14ac:dyDescent="0.15">
      <c r="B53" s="18"/>
      <c r="C53" s="18"/>
      <c r="D53" s="19"/>
      <c r="E53" s="18"/>
    </row>
    <row r="54" spans="1:8" ht="15.6" customHeight="1" x14ac:dyDescent="0.2">
      <c r="A54" s="55"/>
      <c r="B54" s="78" t="s">
        <v>182</v>
      </c>
      <c r="D54" s="25"/>
    </row>
    <row r="55" spans="1:8" ht="13.5" customHeight="1" x14ac:dyDescent="0.15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 x14ac:dyDescent="0.15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 x14ac:dyDescent="0.15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 x14ac:dyDescent="0.15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 x14ac:dyDescent="0.15">
      <c r="B59" s="18"/>
      <c r="C59" s="18"/>
      <c r="D59" s="19"/>
      <c r="E59" s="18"/>
    </row>
    <row r="60" spans="1:8" ht="15.6" customHeight="1" x14ac:dyDescent="0.2">
      <c r="A60" s="60"/>
      <c r="B60" s="80" t="s">
        <v>187</v>
      </c>
      <c r="D60" s="25"/>
    </row>
    <row r="61" spans="1:8" ht="13.5" customHeight="1" x14ac:dyDescent="0.15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 x14ac:dyDescent="0.15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 x14ac:dyDescent="0.15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 x14ac:dyDescent="0.15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 x14ac:dyDescent="0.15">
      <c r="B65" s="18"/>
      <c r="C65" s="18"/>
      <c r="D65" s="19"/>
      <c r="E65" s="18"/>
      <c r="F65" s="18"/>
      <c r="G65" s="18"/>
    </row>
    <row r="66" spans="1:8" ht="15.6" customHeight="1" x14ac:dyDescent="0.2">
      <c r="A66" s="60"/>
      <c r="B66" s="81" t="s">
        <v>189</v>
      </c>
      <c r="D66" s="25"/>
    </row>
    <row r="67" spans="1:8" ht="13.5" customHeight="1" x14ac:dyDescent="0.15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 x14ac:dyDescent="0.15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 x14ac:dyDescent="0.15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 x14ac:dyDescent="0.15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 x14ac:dyDescent="0.15">
      <c r="B71" s="49"/>
      <c r="C71" s="49"/>
      <c r="D71" s="61"/>
      <c r="E71" s="49"/>
      <c r="F71" s="18"/>
      <c r="G71" s="18"/>
    </row>
    <row r="72" spans="1:8" ht="15.6" customHeight="1" x14ac:dyDescent="0.2">
      <c r="A72" s="55"/>
      <c r="B72" s="78" t="s">
        <v>190</v>
      </c>
      <c r="D72" s="25"/>
    </row>
    <row r="73" spans="1:8" ht="13.5" customHeight="1" x14ac:dyDescent="0.15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 x14ac:dyDescent="0.15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 x14ac:dyDescent="0.15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 x14ac:dyDescent="0.15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 x14ac:dyDescent="0.15">
      <c r="B77" s="18"/>
      <c r="C77" s="18"/>
      <c r="D77" s="18"/>
      <c r="E77" s="18"/>
      <c r="F77" s="18"/>
      <c r="G77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51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P23" sqref="P2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373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358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359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生きる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生きる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生き物は かなえられた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生き物は かなえられた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言葉の種類（形容詞・形容動詞）</v>
      </c>
      <c r="P4" s="88" t="str">
        <f>LOOKUP(P21,$X$2:$Y$43,$Y$2:$Y$43)</f>
        <v>現</v>
      </c>
      <c r="Q4" s="9"/>
      <c r="R4" s="299"/>
      <c r="S4" s="94">
        <v>3</v>
      </c>
      <c r="T4" s="95" t="s">
        <v>360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6年のまとめ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生きる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6年のまとめ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6年のまとめ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世界の未来と日本の役割</v>
      </c>
      <c r="P5" s="101" t="str">
        <f>LOOKUP(P22,$X$2:$Y$43,$Y$2:$Y$43)</f>
        <v>現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形よう詞（小4）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6年のまとめ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生物と地球環境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学習用具・教科用語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数と量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図形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言葉の種類（形容詞・形容動詞）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様子を表す言葉（小2）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361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362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363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364</v>
      </c>
      <c r="U14" s="93">
        <f>COUNTIF(C21:O34,"=13")</f>
        <v>1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2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9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365</v>
      </c>
      <c r="U19" s="82">
        <f>COUNTIF(C21:O34,"=22")</f>
        <v>4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220</v>
      </c>
      <c r="O22" s="117">
        <v>35</v>
      </c>
      <c r="P22" s="118">
        <v>50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12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220</v>
      </c>
      <c r="O23" s="117">
        <v>39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218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99"/>
      <c r="S24" s="87">
        <v>27</v>
      </c>
      <c r="T24" s="91" t="s">
        <v>366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367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368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 t="s">
        <v>369</v>
      </c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13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 t="s">
        <v>370</v>
      </c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371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70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372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3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30" sqref="T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374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358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359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生きる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生きる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生き物は かなえられた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生き物は かなえられた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360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3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世界の未来と日本の役割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6年のまとめ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6年のまとめ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言葉の種類（形容詞・形容動詞）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6年のまとめ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生物と地球環境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生物と地球環境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体　育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5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361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362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363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 t="s">
        <v>364</v>
      </c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5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365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211</v>
      </c>
      <c r="L22" s="117">
        <v>3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224</v>
      </c>
      <c r="F23" s="117">
        <v>47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218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230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366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367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368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 t="s">
        <v>369</v>
      </c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 t="s">
        <v>370</v>
      </c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0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3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371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70</v>
      </c>
      <c r="G39" s="306"/>
      <c r="H39" s="306"/>
      <c r="I39" s="315" t="s">
        <v>125</v>
      </c>
      <c r="J39" s="308"/>
      <c r="K39" s="308"/>
      <c r="L39" s="315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372</v>
      </c>
      <c r="U39" s="82">
        <f>COUNTIF(C21:O34,"=40")</f>
        <v>2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140</v>
      </c>
      <c r="D40" s="311"/>
      <c r="E40" s="311"/>
      <c r="F40" s="310" t="s">
        <v>114</v>
      </c>
      <c r="G40" s="311"/>
      <c r="H40" s="311"/>
      <c r="I40" s="310" t="s">
        <v>136</v>
      </c>
      <c r="J40" s="312"/>
      <c r="K40" s="312"/>
      <c r="L40" s="310" t="s">
        <v>108</v>
      </c>
      <c r="M40" s="311"/>
      <c r="N40" s="311"/>
      <c r="O40" s="134" t="s">
        <v>278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114</v>
      </c>
      <c r="D41" s="311"/>
      <c r="E41" s="311"/>
      <c r="F41" s="310" t="s">
        <v>116</v>
      </c>
      <c r="G41" s="311"/>
      <c r="H41" s="311"/>
      <c r="I41" s="310" t="s">
        <v>141</v>
      </c>
      <c r="J41" s="312"/>
      <c r="K41" s="312"/>
      <c r="L41" s="310" t="s">
        <v>116</v>
      </c>
      <c r="M41" s="311"/>
      <c r="N41" s="311"/>
      <c r="O41" s="134" t="s">
        <v>279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142</v>
      </c>
      <c r="D42" s="311"/>
      <c r="E42" s="311"/>
      <c r="F42" s="310" t="s">
        <v>115</v>
      </c>
      <c r="G42" s="311"/>
      <c r="H42" s="311"/>
      <c r="I42" s="310" t="s">
        <v>116</v>
      </c>
      <c r="J42" s="312"/>
      <c r="K42" s="312"/>
      <c r="L42" s="310" t="s">
        <v>115</v>
      </c>
      <c r="M42" s="311"/>
      <c r="N42" s="311"/>
      <c r="O42" s="134" t="s">
        <v>280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0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29" sqref="I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375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376</v>
      </c>
      <c r="U2" s="82">
        <f>COUNTIF(C21:O34,"=1")</f>
        <v>0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377</v>
      </c>
      <c r="U3" s="93">
        <f>COUNTIF(C21:O34,"=2")</f>
        <v>1</v>
      </c>
      <c r="V3" s="299"/>
      <c r="W3" s="9"/>
      <c r="X3" s="96" t="s">
        <v>211</v>
      </c>
      <c r="Y3" s="95" t="s">
        <v>212</v>
      </c>
      <c r="Z3" s="93">
        <f>COUNTIF(B21:P34,"=b")</f>
        <v>10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ぼくが　ここに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言葉の単位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言葉の単位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文の組み立て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大地の変動</v>
      </c>
      <c r="P4" s="88" t="str">
        <f>LOOKUP(P21,$X$2:$Y$43,$Y$2:$Y$43)</f>
        <v>現</v>
      </c>
      <c r="Q4" s="9"/>
      <c r="R4" s="299"/>
      <c r="S4" s="94">
        <v>3</v>
      </c>
      <c r="T4" s="95" t="s">
        <v>378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資料の活用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世界から見た日本の自然環境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資料の活用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 t="s">
        <v>379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言葉を分類する（小3）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文・文節（小4）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単文・複文・重文（小5）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299"/>
      <c r="S6" s="94">
        <v>5</v>
      </c>
      <c r="T6" s="95" t="s">
        <v>380</v>
      </c>
      <c r="U6" s="93">
        <f>COUNTIF(C21:O34,"=5")</f>
        <v>2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資料の調べ方（小6）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資料の調べ方（小6）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復習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文の組み立て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単語の分類</v>
      </c>
      <c r="G9" s="88" t="str">
        <f t="shared" ref="G9:H12" si="5">LOOKUP(G26,$X$2:$Y$43,$Y$2:$Y$43)</f>
        <v>現</v>
      </c>
      <c r="H9" s="98" t="str">
        <f t="shared" si="5"/>
        <v>数　学</v>
      </c>
      <c r="I9" s="88" t="str">
        <f>LOOKUP(I26,$S$2:$T$69,$T$2:$T$69)</f>
        <v>資料の活用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単語の分類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381</v>
      </c>
      <c r="U11" s="82">
        <f>COUNTIF(C21:O34,"=10")</f>
        <v>1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復習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復習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382</v>
      </c>
      <c r="U12" s="93">
        <f>COUNTIF(C21:O34,"=11")</f>
        <v>1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383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3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10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384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2</v>
      </c>
      <c r="D21" s="115">
        <v>50</v>
      </c>
      <c r="E21" s="113" t="s">
        <v>211</v>
      </c>
      <c r="F21" s="114">
        <v>3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216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211</v>
      </c>
      <c r="I23" s="117">
        <v>11</v>
      </c>
      <c r="J23" s="119">
        <v>51</v>
      </c>
      <c r="K23" s="116" t="s">
        <v>211</v>
      </c>
      <c r="L23" s="117">
        <v>12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385</v>
      </c>
      <c r="U24" s="82">
        <f>COUNTIF(C21:O34,"=27")</f>
        <v>2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386</v>
      </c>
      <c r="U25" s="93">
        <f>COUNTIF(C21:O34,"=28")</f>
        <v>3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5</v>
      </c>
      <c r="G26" s="115">
        <v>50</v>
      </c>
      <c r="H26" s="116" t="s">
        <v>216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5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220</v>
      </c>
      <c r="F28" s="117">
        <v>39</v>
      </c>
      <c r="G28" s="119">
        <v>51</v>
      </c>
      <c r="H28" s="116" t="s">
        <v>209</v>
      </c>
      <c r="I28" s="117">
        <v>59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5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8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387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388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389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4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4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1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6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24" sqref="C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390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376</v>
      </c>
      <c r="U2" s="82">
        <f>COUNTIF(C21:O34,"=1")</f>
        <v>0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377</v>
      </c>
      <c r="U3" s="93">
        <f>COUNTIF(C21:O34,"=2")</f>
        <v>1</v>
      </c>
      <c r="V3" s="299"/>
      <c r="W3" s="9"/>
      <c r="X3" s="96" t="s">
        <v>211</v>
      </c>
      <c r="Y3" s="95" t="s">
        <v>212</v>
      </c>
      <c r="Z3" s="93">
        <f>COUNTIF(B21:P34,"=b")</f>
        <v>10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ぼくが　ここに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言葉の単位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文の組み立て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文の組み立て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単語の分類</v>
      </c>
      <c r="P4" s="88" t="str">
        <f>LOOKUP(P21,$X$2:$Y$43,$Y$2:$Y$43)</f>
        <v>現</v>
      </c>
      <c r="Q4" s="9"/>
      <c r="R4" s="299"/>
      <c r="S4" s="94">
        <v>3</v>
      </c>
      <c r="T4" s="95" t="s">
        <v>378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2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資料の活用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言葉の単位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資料の活用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資料の活用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世界から見た日本の自然環境</v>
      </c>
      <c r="P5" s="101" t="str">
        <f>LOOKUP(P22,$X$2:$Y$43,$Y$2:$Y$43)</f>
        <v>現</v>
      </c>
      <c r="Q5" s="9"/>
      <c r="R5" s="299"/>
      <c r="S5" s="94">
        <v>4</v>
      </c>
      <c r="T5" s="95" t="s">
        <v>379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資料の活用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大地の変動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単文・複文・重文（小5）</v>
      </c>
      <c r="P6" s="101" t="str">
        <f>LOOKUP(P23,$X$2:$Y$43,$Y$2:$Y$43)</f>
        <v>ス</v>
      </c>
      <c r="Q6" s="9"/>
      <c r="R6" s="299"/>
      <c r="S6" s="94">
        <v>5</v>
      </c>
      <c r="T6" s="95" t="s">
        <v>380</v>
      </c>
      <c r="U6" s="93">
        <f>COUNTIF(C21:O34,"=5")</f>
        <v>2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言葉を分類する（小3）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復習</v>
      </c>
      <c r="J7" s="101" t="str">
        <f t="shared" si="2"/>
        <v>ス</v>
      </c>
      <c r="K7" s="100" t="str">
        <f t="shared" si="2"/>
        <v>国　語</v>
      </c>
      <c r="L7" s="101" t="str">
        <f>LOOKUP(L24,$S$2:$T$69,$T$2:$T$69)</f>
        <v>文・文節（小4）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資料の調べ方（小6）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単語の分類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381</v>
      </c>
      <c r="U11" s="82">
        <f>COUNTIF(C21:O34,"=10")</f>
        <v>1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382</v>
      </c>
      <c r="U12" s="93">
        <f>COUNTIF(C21:O34,"=11")</f>
        <v>1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383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3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10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384</v>
      </c>
      <c r="U19" s="82">
        <f>COUNTIF(C21:O34,"=22")</f>
        <v>4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2</v>
      </c>
      <c r="D21" s="115">
        <v>50</v>
      </c>
      <c r="E21" s="113" t="s">
        <v>211</v>
      </c>
      <c r="F21" s="114">
        <v>3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216</v>
      </c>
      <c r="C22" s="117">
        <v>22</v>
      </c>
      <c r="D22" s="118">
        <v>50</v>
      </c>
      <c r="E22" s="116" t="s">
        <v>211</v>
      </c>
      <c r="F22" s="117">
        <v>3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216</v>
      </c>
      <c r="L22" s="117">
        <v>22</v>
      </c>
      <c r="M22" s="118">
        <v>50</v>
      </c>
      <c r="N22" s="116" t="s">
        <v>220</v>
      </c>
      <c r="O22" s="117">
        <v>35</v>
      </c>
      <c r="P22" s="118">
        <v>50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216</v>
      </c>
      <c r="F23" s="117">
        <v>22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211</v>
      </c>
      <c r="O23" s="117">
        <v>12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218</v>
      </c>
      <c r="C24" s="117">
        <v>44</v>
      </c>
      <c r="D24" s="119">
        <v>51</v>
      </c>
      <c r="E24" s="116" t="s">
        <v>211</v>
      </c>
      <c r="F24" s="117">
        <v>10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211</v>
      </c>
      <c r="L24" s="117">
        <v>11</v>
      </c>
      <c r="M24" s="119">
        <v>51</v>
      </c>
      <c r="N24" s="116" t="s">
        <v>214</v>
      </c>
      <c r="O24" s="117">
        <v>28</v>
      </c>
      <c r="P24" s="139">
        <v>51</v>
      </c>
      <c r="Q24" s="9"/>
      <c r="R24" s="299"/>
      <c r="S24" s="87">
        <v>27</v>
      </c>
      <c r="T24" s="91" t="s">
        <v>386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385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220</v>
      </c>
      <c r="C28" s="117">
        <v>39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387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388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389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0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1" sqref="O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391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376</v>
      </c>
      <c r="U2" s="82">
        <f>COUNTIF(C21:O34,"=1")</f>
        <v>0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377</v>
      </c>
      <c r="U3" s="93">
        <f>COUNTIF(C21:O34,"=2")</f>
        <v>0</v>
      </c>
      <c r="V3" s="299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言葉の単位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文の組み立て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文の組み立て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単語の分類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378</v>
      </c>
      <c r="U4" s="93">
        <f>COUNTIF(C21:O34,"=3")</f>
        <v>1</v>
      </c>
      <c r="V4" s="299"/>
      <c r="W4" s="9"/>
      <c r="X4" s="96" t="s">
        <v>214</v>
      </c>
      <c r="Y4" s="95" t="s">
        <v>215</v>
      </c>
      <c r="Z4" s="93">
        <f>COUNTIF(B21:P34,"=c")</f>
        <v>1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世界から見た日本の自然環境</v>
      </c>
      <c r="D5" s="101" t="str">
        <f t="shared" si="0"/>
        <v>現</v>
      </c>
      <c r="E5" s="100" t="str">
        <f t="shared" si="0"/>
        <v>数　学</v>
      </c>
      <c r="F5" s="101" t="str">
        <f>LOOKUP(F22,$S$2:$T$69,$T$2:$T$69)</f>
        <v>資料の活用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資料の活用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単語の分類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 t="s">
        <v>379</v>
      </c>
      <c r="U5" s="93">
        <f>COUNTIF(C21:O34,"=4")</f>
        <v>2</v>
      </c>
      <c r="V5" s="299"/>
      <c r="W5" s="9"/>
      <c r="X5" s="96" t="s">
        <v>216</v>
      </c>
      <c r="Y5" s="95" t="s">
        <v>217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数　学</v>
      </c>
      <c r="C6" s="101" t="str">
        <f>LOOKUP(C23,$S$2:$T$69,$T$2:$T$69)</f>
        <v>資料の活用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大地の変動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大地の変動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 t="s">
        <v>380</v>
      </c>
      <c r="U6" s="93">
        <f>COUNTIF(C21:O34,"=5")</f>
        <v>2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復習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5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381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382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383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5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384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3</v>
      </c>
      <c r="D21" s="115">
        <v>50</v>
      </c>
      <c r="E21" s="113" t="s">
        <v>211</v>
      </c>
      <c r="F21" s="114">
        <v>4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216</v>
      </c>
      <c r="F22" s="117">
        <v>22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211</v>
      </c>
      <c r="L22" s="117">
        <v>5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216</v>
      </c>
      <c r="C23" s="117">
        <v>22</v>
      </c>
      <c r="D23" s="118">
        <v>50</v>
      </c>
      <c r="E23" s="116" t="s">
        <v>224</v>
      </c>
      <c r="F23" s="117">
        <v>47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218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386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385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/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1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387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388</v>
      </c>
      <c r="G39" s="306"/>
      <c r="H39" s="306"/>
      <c r="I39" s="315" t="s">
        <v>125</v>
      </c>
      <c r="J39" s="308"/>
      <c r="K39" s="308"/>
      <c r="L39" s="315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389</v>
      </c>
      <c r="U39" s="82">
        <f>COUNTIF(C21:O34,"=40")</f>
        <v>2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140</v>
      </c>
      <c r="D40" s="311"/>
      <c r="E40" s="311"/>
      <c r="F40" s="310" t="s">
        <v>114</v>
      </c>
      <c r="G40" s="311"/>
      <c r="H40" s="311"/>
      <c r="I40" s="310" t="s">
        <v>136</v>
      </c>
      <c r="J40" s="312"/>
      <c r="K40" s="312"/>
      <c r="L40" s="310" t="s">
        <v>108</v>
      </c>
      <c r="M40" s="311"/>
      <c r="N40" s="311"/>
      <c r="O40" s="134" t="s">
        <v>278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114</v>
      </c>
      <c r="D41" s="311"/>
      <c r="E41" s="311"/>
      <c r="F41" s="310" t="s">
        <v>116</v>
      </c>
      <c r="G41" s="311"/>
      <c r="H41" s="311"/>
      <c r="I41" s="310" t="s">
        <v>141</v>
      </c>
      <c r="J41" s="312"/>
      <c r="K41" s="312"/>
      <c r="L41" s="310" t="s">
        <v>116</v>
      </c>
      <c r="M41" s="311"/>
      <c r="N41" s="311"/>
      <c r="O41" s="134" t="s">
        <v>279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142</v>
      </c>
      <c r="D42" s="311"/>
      <c r="E42" s="311"/>
      <c r="F42" s="310" t="s">
        <v>115</v>
      </c>
      <c r="G42" s="311"/>
      <c r="H42" s="311"/>
      <c r="I42" s="310" t="s">
        <v>116</v>
      </c>
      <c r="J42" s="312"/>
      <c r="K42" s="312"/>
      <c r="L42" s="310" t="s">
        <v>115</v>
      </c>
      <c r="M42" s="311"/>
      <c r="N42" s="311"/>
      <c r="O42" s="134" t="s">
        <v>280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1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1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0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392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393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394</v>
      </c>
      <c r="U3" s="93">
        <f>COUNTIF(C21:O34,"=2")</f>
        <v>5</v>
      </c>
      <c r="V3" s="29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国語学習の報告書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国語学習の報告書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鍵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鍵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日本の気象</v>
      </c>
      <c r="P4" s="88" t="str">
        <f>LOOKUP(P21,$X$2:$Y$43,$Y$2:$Y$43)</f>
        <v>現</v>
      </c>
      <c r="Q4" s="9"/>
      <c r="R4" s="299"/>
      <c r="S4" s="94">
        <v>3</v>
      </c>
      <c r="T4" s="95"/>
      <c r="U4" s="93">
        <f>COUNTIF(C21:O34,"=3")</f>
        <v>0</v>
      </c>
      <c r="V4" s="299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確立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身近な地域の調査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確立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復習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復習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割合（小5）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鍵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鍵</v>
      </c>
      <c r="G9" s="88" t="str">
        <f t="shared" ref="G9:H12" si="5">LOOKUP(G26,$X$2:$Y$43,$Y$2:$Y$43)</f>
        <v>現</v>
      </c>
      <c r="H9" s="98" t="str">
        <f t="shared" si="5"/>
        <v>数　学</v>
      </c>
      <c r="I9" s="88" t="str">
        <f>LOOKUP(I26,$S$2:$T$69,$T$2:$T$69)</f>
        <v>確立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鍵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割合（小5）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割合を使って（小5）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7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395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216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386</v>
      </c>
      <c r="U24" s="82">
        <f>COUNTIF(C21:O34,"=27")</f>
        <v>2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396</v>
      </c>
      <c r="U25" s="93">
        <f>COUNTIF(C21:O34,"=28")</f>
        <v>2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6" t="s">
        <v>216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397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211</v>
      </c>
      <c r="F27" s="117">
        <v>2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220</v>
      </c>
      <c r="F28" s="117">
        <v>39</v>
      </c>
      <c r="G28" s="119">
        <v>51</v>
      </c>
      <c r="H28" s="116" t="s">
        <v>209</v>
      </c>
      <c r="I28" s="117">
        <v>57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5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8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398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388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399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4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4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3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2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2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9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A2" sqref="A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400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393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394</v>
      </c>
      <c r="U3" s="93">
        <f>COUNTIF(C21:O34,"=2")</f>
        <v>5</v>
      </c>
      <c r="V3" s="29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国語学習の報告書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国語学習の報告書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鍵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鍵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鍵</v>
      </c>
      <c r="P4" s="88" t="str">
        <f>LOOKUP(P21,$X$2:$Y$43,$Y$2:$Y$43)</f>
        <v>現</v>
      </c>
      <c r="Q4" s="9"/>
      <c r="R4" s="299"/>
      <c r="S4" s="94">
        <v>3</v>
      </c>
      <c r="T4" s="95"/>
      <c r="U4" s="93">
        <f>COUNTIF(C21:O34,"=3")</f>
        <v>0</v>
      </c>
      <c r="V4" s="299"/>
      <c r="W4" s="9"/>
      <c r="X4" s="96" t="s">
        <v>214</v>
      </c>
      <c r="Y4" s="95" t="s">
        <v>215</v>
      </c>
      <c r="Z4" s="93">
        <f>COUNTIF(B21:P34,"=c")</f>
        <v>2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確立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鍵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確立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確立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身近な地域の調査</v>
      </c>
      <c r="P5" s="101" t="str">
        <f>LOOKUP(P22,$X$2:$Y$43,$Y$2:$Y$43)</f>
        <v>現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確立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日本の気象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割合（小5）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割合を使って（小5）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鍵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7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395</v>
      </c>
      <c r="U19" s="82">
        <f>COUNTIF(C21:O34,"=22")</f>
        <v>4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216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216</v>
      </c>
      <c r="L22" s="117">
        <v>22</v>
      </c>
      <c r="M22" s="118">
        <v>50</v>
      </c>
      <c r="N22" s="116" t="s">
        <v>220</v>
      </c>
      <c r="O22" s="117">
        <v>35</v>
      </c>
      <c r="P22" s="118">
        <v>50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216</v>
      </c>
      <c r="F23" s="117">
        <v>22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218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29</v>
      </c>
      <c r="P24" s="139">
        <v>51</v>
      </c>
      <c r="Q24" s="9"/>
      <c r="R24" s="299"/>
      <c r="S24" s="87">
        <v>27</v>
      </c>
      <c r="T24" s="91" t="s">
        <v>386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396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397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220</v>
      </c>
      <c r="C28" s="117">
        <v>39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398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388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399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3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5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401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393</v>
      </c>
      <c r="U2" s="82">
        <f>COUNTIF(C21:O34,"=1")</f>
        <v>1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394</v>
      </c>
      <c r="U3" s="93">
        <f>COUNTIF(C21:O34,"=2")</f>
        <v>4</v>
      </c>
      <c r="V3" s="299"/>
      <c r="W3" s="9"/>
      <c r="X3" s="96" t="s">
        <v>211</v>
      </c>
      <c r="Y3" s="95" t="s">
        <v>212</v>
      </c>
      <c r="Z3" s="93">
        <f>COUNTIF(B21:P34,"=b")</f>
        <v>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国語学習の報告書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鍵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鍵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鍵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/>
      <c r="U4" s="93">
        <f>COUNTIF(C21:O34,"=3")</f>
        <v>0</v>
      </c>
      <c r="V4" s="299"/>
      <c r="W4" s="9"/>
      <c r="X4" s="96" t="s">
        <v>214</v>
      </c>
      <c r="Y4" s="95" t="s">
        <v>215</v>
      </c>
      <c r="Z4" s="93">
        <f>COUNTIF(B21:P34,"=c")</f>
        <v>1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身近な地域の調査</v>
      </c>
      <c r="D5" s="101" t="str">
        <f t="shared" si="0"/>
        <v>現</v>
      </c>
      <c r="E5" s="100" t="str">
        <f t="shared" si="0"/>
        <v>数　学</v>
      </c>
      <c r="F5" s="101" t="str">
        <f>LOOKUP(F22,$S$2:$T$69,$T$2:$T$69)</f>
        <v>確立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確立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鍵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数　学</v>
      </c>
      <c r="C6" s="101" t="str">
        <f>LOOKUP(C23,$S$2:$T$69,$T$2:$T$69)</f>
        <v>確立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日本の気象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日本の気象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割合（小5）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5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5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395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220</v>
      </c>
      <c r="C22" s="117">
        <v>35</v>
      </c>
      <c r="D22" s="118">
        <v>50</v>
      </c>
      <c r="E22" s="116" t="s">
        <v>216</v>
      </c>
      <c r="F22" s="117">
        <v>22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211</v>
      </c>
      <c r="L22" s="117">
        <v>2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216</v>
      </c>
      <c r="C23" s="117">
        <v>22</v>
      </c>
      <c r="D23" s="118">
        <v>50</v>
      </c>
      <c r="E23" s="116" t="s">
        <v>224</v>
      </c>
      <c r="F23" s="117">
        <v>47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218</v>
      </c>
      <c r="L23" s="117">
        <v>40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220</v>
      </c>
      <c r="F24" s="117">
        <v>39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386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396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397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1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398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388</v>
      </c>
      <c r="G39" s="306"/>
      <c r="H39" s="306"/>
      <c r="I39" s="315" t="s">
        <v>125</v>
      </c>
      <c r="J39" s="308"/>
      <c r="K39" s="308"/>
      <c r="L39" s="315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399</v>
      </c>
      <c r="U39" s="82">
        <f>COUNTIF(C21:O34,"=40")</f>
        <v>2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140</v>
      </c>
      <c r="D40" s="311"/>
      <c r="E40" s="311"/>
      <c r="F40" s="310" t="s">
        <v>114</v>
      </c>
      <c r="G40" s="311"/>
      <c r="H40" s="311"/>
      <c r="I40" s="310" t="s">
        <v>136</v>
      </c>
      <c r="J40" s="312"/>
      <c r="K40" s="312"/>
      <c r="L40" s="310" t="s">
        <v>108</v>
      </c>
      <c r="M40" s="311"/>
      <c r="N40" s="311"/>
      <c r="O40" s="134" t="s">
        <v>278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114</v>
      </c>
      <c r="D41" s="311"/>
      <c r="E41" s="311"/>
      <c r="F41" s="310" t="s">
        <v>116</v>
      </c>
      <c r="G41" s="311"/>
      <c r="H41" s="311"/>
      <c r="I41" s="310" t="s">
        <v>141</v>
      </c>
      <c r="J41" s="312"/>
      <c r="K41" s="312"/>
      <c r="L41" s="310" t="s">
        <v>116</v>
      </c>
      <c r="M41" s="311"/>
      <c r="N41" s="311"/>
      <c r="O41" s="134" t="s">
        <v>279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142</v>
      </c>
      <c r="D42" s="311"/>
      <c r="E42" s="311"/>
      <c r="F42" s="310" t="s">
        <v>115</v>
      </c>
      <c r="G42" s="311"/>
      <c r="H42" s="311"/>
      <c r="I42" s="310" t="s">
        <v>116</v>
      </c>
      <c r="J42" s="312"/>
      <c r="K42" s="312"/>
      <c r="L42" s="310" t="s">
        <v>115</v>
      </c>
      <c r="M42" s="311"/>
      <c r="N42" s="311"/>
      <c r="O42" s="134" t="s">
        <v>280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1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1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0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1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29" sqref="I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402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403</v>
      </c>
      <c r="U2" s="82">
        <f>COUNTIF(C21:O34,"=1")</f>
        <v>7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/>
      <c r="U3" s="93">
        <f>COUNTIF(C21:O34,"=2")</f>
        <v>0</v>
      </c>
      <c r="V3" s="299"/>
      <c r="W3" s="9"/>
      <c r="X3" s="96" t="s">
        <v>211</v>
      </c>
      <c r="Y3" s="95" t="s">
        <v>212</v>
      </c>
      <c r="Z3" s="93">
        <f>COUNTIF(B21:P34,"=b")</f>
        <v>6</v>
      </c>
      <c r="AA3" s="9"/>
    </row>
    <row r="4" spans="1:27" ht="14.1" customHeight="1" x14ac:dyDescent="0.15">
      <c r="A4" s="97">
        <v>1</v>
      </c>
      <c r="B4" s="98" t="str">
        <f>LOOKUP(B21,$X$2:$Y$43,$Y$2:$Y$43)</f>
        <v>数　学</v>
      </c>
      <c r="C4" s="88" t="str">
        <f>LOOKUP(C21,$S$2:$T$69,$T$2:$T$69)</f>
        <v>学びについて語り合う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学びについて語り合う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学びについて語り合う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学びについて語り合う</v>
      </c>
      <c r="M4" s="88" t="str">
        <f t="shared" ref="M4:N7" si="3">LOOKUP(M21,$X$2:$Y$43,$Y$2:$Y$43)</f>
        <v>現</v>
      </c>
      <c r="N4" s="98" t="str">
        <f t="shared" si="3"/>
        <v>理　科</v>
      </c>
      <c r="O4" s="88" t="str">
        <f>LOOKUP(O21,$S$2:$T$69,$T$2:$T$69)</f>
        <v>これからのくらしを考えよう</v>
      </c>
      <c r="P4" s="88" t="str">
        <f>LOOKUP(P21,$X$2:$Y$43,$Y$2:$Y$43)</f>
        <v>現</v>
      </c>
      <c r="Q4" s="9"/>
      <c r="R4" s="299"/>
      <c r="S4" s="94">
        <v>3</v>
      </c>
      <c r="T4" s="95"/>
      <c r="U4" s="93">
        <f>COUNTIF(C21:O34,"=3")</f>
        <v>0</v>
      </c>
      <c r="V4" s="29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標本調査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より良い社会を目指して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標本調査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3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日本語能力試験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復習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表とグラフ（小3）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調べ方と整理のしかた（小4）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学びについて語り合う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学びについて語り合う</v>
      </c>
      <c r="G9" s="88" t="str">
        <f t="shared" ref="G9:H12" si="5">LOOKUP(G26,$X$2:$Y$43,$Y$2:$Y$43)</f>
        <v>現</v>
      </c>
      <c r="H9" s="98" t="str">
        <f t="shared" si="5"/>
        <v>数　学</v>
      </c>
      <c r="I9" s="88" t="str">
        <f>LOOKUP(I26,$S$2:$T$69,$T$2:$T$69)</f>
        <v>標本調査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学びについて語り合う</v>
      </c>
      <c r="G10" s="101" t="str">
        <f t="shared" si="5"/>
        <v>現</v>
      </c>
      <c r="H10" s="100" t="str">
        <f t="shared" si="5"/>
        <v>音　楽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体　育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変わり方 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変わり方を調べて（小6）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7</v>
      </c>
      <c r="V18" s="299"/>
      <c r="W18" s="9"/>
      <c r="X18" s="109">
        <v>50</v>
      </c>
      <c r="Y18" s="110" t="s">
        <v>237</v>
      </c>
      <c r="Z18" s="105">
        <f>COUNTIF(C21:P34,"=50")</f>
        <v>13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404</v>
      </c>
      <c r="U19" s="82">
        <f>COUNTIF(C21:O34,"=22")</f>
        <v>3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6" t="s">
        <v>216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218</v>
      </c>
      <c r="O21" s="114">
        <v>40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220</v>
      </c>
      <c r="F22" s="117">
        <v>35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55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218</v>
      </c>
      <c r="O24" s="117">
        <v>44</v>
      </c>
      <c r="P24" s="119">
        <v>51</v>
      </c>
      <c r="Q24" s="9"/>
      <c r="R24" s="299"/>
      <c r="S24" s="87">
        <v>27</v>
      </c>
      <c r="T24" s="91" t="s">
        <v>386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405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1</v>
      </c>
      <c r="D26" s="115">
        <v>50</v>
      </c>
      <c r="E26" s="113" t="s">
        <v>211</v>
      </c>
      <c r="F26" s="114">
        <v>1</v>
      </c>
      <c r="G26" s="115">
        <v>50</v>
      </c>
      <c r="H26" s="116" t="s">
        <v>216</v>
      </c>
      <c r="I26" s="114">
        <v>22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406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1</v>
      </c>
      <c r="G27" s="118">
        <v>50</v>
      </c>
      <c r="H27" s="116" t="s">
        <v>224</v>
      </c>
      <c r="I27" s="117">
        <v>47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 t="s">
        <v>407</v>
      </c>
      <c r="U27" s="93">
        <f>COUNTIF(C21:O34,"=30")</f>
        <v>1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220</v>
      </c>
      <c r="F28" s="117">
        <v>39</v>
      </c>
      <c r="G28" s="119">
        <v>51</v>
      </c>
      <c r="H28" s="116" t="s">
        <v>209</v>
      </c>
      <c r="I28" s="117">
        <v>57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 t="s">
        <v>408</v>
      </c>
      <c r="U28" s="93">
        <f>COUNTIF(C21:O34,"=31")</f>
        <v>1</v>
      </c>
      <c r="V28" s="299"/>
      <c r="W28" s="9"/>
      <c r="X28" s="2"/>
    </row>
    <row r="29" spans="1:27" ht="14.25" x14ac:dyDescent="0.15">
      <c r="A29" s="99">
        <v>8</v>
      </c>
      <c r="B29" s="116" t="s">
        <v>230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5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8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409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388</v>
      </c>
      <c r="G39" s="306"/>
      <c r="H39" s="306"/>
      <c r="I39" s="307" t="s">
        <v>125</v>
      </c>
      <c r="J39" s="308"/>
      <c r="K39" s="308"/>
      <c r="L39" s="307" t="s">
        <v>312</v>
      </c>
      <c r="M39" s="306"/>
      <c r="N39" s="306"/>
      <c r="O39" s="133" t="s">
        <v>254</v>
      </c>
      <c r="P39" s="9"/>
      <c r="R39" s="298" t="s">
        <v>255</v>
      </c>
      <c r="S39" s="128">
        <v>40</v>
      </c>
      <c r="T39" s="91" t="s">
        <v>410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188</v>
      </c>
      <c r="D40" s="311"/>
      <c r="E40" s="311"/>
      <c r="F40" s="310" t="s">
        <v>93</v>
      </c>
      <c r="G40" s="311"/>
      <c r="H40" s="311"/>
      <c r="I40" s="310" t="s">
        <v>128</v>
      </c>
      <c r="J40" s="312"/>
      <c r="K40" s="312"/>
      <c r="L40" s="310" t="s">
        <v>175</v>
      </c>
      <c r="M40" s="311"/>
      <c r="N40" s="311"/>
      <c r="O40" s="134" t="s">
        <v>256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96</v>
      </c>
      <c r="D41" s="311"/>
      <c r="E41" s="311"/>
      <c r="F41" s="310" t="s">
        <v>97</v>
      </c>
      <c r="G41" s="311"/>
      <c r="H41" s="311"/>
      <c r="I41" s="310" t="s">
        <v>130</v>
      </c>
      <c r="J41" s="312"/>
      <c r="K41" s="312"/>
      <c r="L41" s="310" t="s">
        <v>132</v>
      </c>
      <c r="M41" s="311"/>
      <c r="N41" s="311"/>
      <c r="O41" s="134" t="s">
        <v>314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100</v>
      </c>
      <c r="D42" s="311"/>
      <c r="E42" s="311"/>
      <c r="F42" s="310" t="s">
        <v>101</v>
      </c>
      <c r="G42" s="311"/>
      <c r="H42" s="311"/>
      <c r="I42" s="310" t="s">
        <v>132</v>
      </c>
      <c r="J42" s="312"/>
      <c r="K42" s="312"/>
      <c r="L42" s="310" t="s">
        <v>315</v>
      </c>
      <c r="M42" s="311"/>
      <c r="N42" s="311"/>
      <c r="O42" s="134" t="s">
        <v>316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4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4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3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2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2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9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29" sqref="C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411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403</v>
      </c>
      <c r="U2" s="82">
        <f>COUNTIF(C21:O34,"=1")</f>
        <v>7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/>
      <c r="U3" s="93">
        <f>COUNTIF(C21:O34,"=2")</f>
        <v>0</v>
      </c>
      <c r="V3" s="29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学びについて語り合う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学びについて語り合う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学びについて語り合う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学びについて語り合う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学びについて語り合う</v>
      </c>
      <c r="P4" s="88" t="str">
        <f>LOOKUP(P21,$X$2:$Y$43,$Y$2:$Y$43)</f>
        <v>現</v>
      </c>
      <c r="Q4" s="9"/>
      <c r="R4" s="299"/>
      <c r="S4" s="94">
        <v>3</v>
      </c>
      <c r="T4" s="95"/>
      <c r="U4" s="93">
        <f>COUNTIF(C21:O34,"=3")</f>
        <v>0</v>
      </c>
      <c r="V4" s="299"/>
      <c r="W4" s="9"/>
      <c r="X4" s="96" t="s">
        <v>214</v>
      </c>
      <c r="Y4" s="95" t="s">
        <v>215</v>
      </c>
      <c r="Z4" s="93">
        <f>COUNTIF(B21:P34,"=c")</f>
        <v>2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標本調査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学びについて語り合う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標本調査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標本調査</v>
      </c>
      <c r="M5" s="101" t="str">
        <f t="shared" si="3"/>
        <v>現</v>
      </c>
      <c r="N5" s="100" t="str">
        <f t="shared" si="3"/>
        <v>社　会</v>
      </c>
      <c r="O5" s="101" t="str">
        <f>LOOKUP(O22,$S$2:$T$69,$T$2:$T$69)</f>
        <v>より良い社会を目指して</v>
      </c>
      <c r="P5" s="101" t="str">
        <f>LOOKUP(P22,$X$2:$Y$43,$Y$2:$Y$43)</f>
        <v>現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4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標本調査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これからのくらしを考えよう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2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調べ方と整理のしかた（小4）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変わり方を調べて（小6）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学びについて語り合う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7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404</v>
      </c>
      <c r="U19" s="82">
        <f>COUNTIF(C21:O34,"=22")</f>
        <v>4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/>
      <c r="U20" s="93">
        <f>COUNTIF(C21:O34,"=23")</f>
        <v>0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211</v>
      </c>
      <c r="O21" s="114">
        <v>1</v>
      </c>
      <c r="P21" s="115">
        <v>50</v>
      </c>
      <c r="Q21" s="9"/>
      <c r="R21" s="299"/>
      <c r="S21" s="94">
        <v>24</v>
      </c>
      <c r="T21" s="95"/>
      <c r="U21" s="93">
        <f>COUNTIF(C21:O34,"=24")</f>
        <v>0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216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216</v>
      </c>
      <c r="I22" s="117">
        <v>22</v>
      </c>
      <c r="J22" s="118">
        <v>50</v>
      </c>
      <c r="K22" s="116" t="s">
        <v>216</v>
      </c>
      <c r="L22" s="117">
        <v>22</v>
      </c>
      <c r="M22" s="118">
        <v>50</v>
      </c>
      <c r="N22" s="116" t="s">
        <v>220</v>
      </c>
      <c r="O22" s="117">
        <v>35</v>
      </c>
      <c r="P22" s="118">
        <v>50</v>
      </c>
      <c r="Q22" s="9"/>
      <c r="R22" s="299"/>
      <c r="S22" s="94">
        <v>25</v>
      </c>
      <c r="T22" s="95"/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220</v>
      </c>
      <c r="C23" s="117">
        <v>39</v>
      </c>
      <c r="D23" s="119">
        <v>51</v>
      </c>
      <c r="E23" s="116" t="s">
        <v>216</v>
      </c>
      <c r="F23" s="117">
        <v>22</v>
      </c>
      <c r="G23" s="118">
        <v>50</v>
      </c>
      <c r="H23" s="116" t="s">
        <v>218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218</v>
      </c>
      <c r="C24" s="117">
        <v>44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214</v>
      </c>
      <c r="O24" s="117">
        <v>31</v>
      </c>
      <c r="P24" s="139">
        <v>51</v>
      </c>
      <c r="Q24" s="9"/>
      <c r="R24" s="299"/>
      <c r="S24" s="87">
        <v>27</v>
      </c>
      <c r="T24" s="91" t="s">
        <v>386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405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1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406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 t="s">
        <v>407</v>
      </c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 t="s">
        <v>408</v>
      </c>
      <c r="U28" s="93">
        <f>COUNTIF(C21:O34,"=31")</f>
        <v>1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2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6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 t="s">
        <v>409</v>
      </c>
      <c r="U33" s="82">
        <f>COUNTIF(C21:O34,"=35")</f>
        <v>1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3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3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3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3">
        <f>COUNTIF(C21:O34,"=39")</f>
        <v>1</v>
      </c>
      <c r="V37" s="29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99"/>
      <c r="S38" s="82"/>
      <c r="T38" s="108" t="s">
        <v>253</v>
      </c>
      <c r="U38" s="105">
        <f>SUM(U33:U37)</f>
        <v>2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16"/>
      <c r="E39" s="316"/>
      <c r="F39" s="314" t="s">
        <v>388</v>
      </c>
      <c r="G39" s="316"/>
      <c r="H39" s="316"/>
      <c r="I39" s="314" t="s">
        <v>125</v>
      </c>
      <c r="J39" s="316"/>
      <c r="K39" s="316"/>
      <c r="L39" s="314" t="s">
        <v>312</v>
      </c>
      <c r="M39" s="316"/>
      <c r="N39" s="306"/>
      <c r="O39" s="133" t="s">
        <v>254</v>
      </c>
      <c r="P39" s="9"/>
      <c r="R39" s="298" t="s">
        <v>255</v>
      </c>
      <c r="S39" s="128">
        <v>40</v>
      </c>
      <c r="T39" s="91" t="s">
        <v>410</v>
      </c>
      <c r="U39" s="82">
        <f>COUNTIF(C21:O34,"=40")</f>
        <v>1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105</v>
      </c>
      <c r="D40" s="317"/>
      <c r="E40" s="317"/>
      <c r="F40" s="310" t="s">
        <v>106</v>
      </c>
      <c r="G40" s="311"/>
      <c r="H40" s="311"/>
      <c r="I40" s="310" t="s">
        <v>136</v>
      </c>
      <c r="J40" s="312"/>
      <c r="K40" s="312"/>
      <c r="L40" s="310" t="s">
        <v>108</v>
      </c>
      <c r="M40" s="317"/>
      <c r="N40" s="311"/>
      <c r="O40" s="134" t="s">
        <v>318</v>
      </c>
      <c r="P40" s="9"/>
      <c r="R40" s="299"/>
      <c r="S40" s="129">
        <v>41</v>
      </c>
      <c r="T40" s="95"/>
      <c r="U40" s="93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107</v>
      </c>
      <c r="D41" s="317"/>
      <c r="E41" s="317"/>
      <c r="F41" s="310" t="s">
        <v>108</v>
      </c>
      <c r="G41" s="311"/>
      <c r="H41" s="311"/>
      <c r="I41" s="310" t="s">
        <v>130</v>
      </c>
      <c r="J41" s="312"/>
      <c r="K41" s="312"/>
      <c r="L41" s="310" t="s">
        <v>132</v>
      </c>
      <c r="M41" s="317"/>
      <c r="N41" s="311"/>
      <c r="O41" s="134" t="s">
        <v>275</v>
      </c>
      <c r="P41" s="9"/>
      <c r="R41" s="299"/>
      <c r="S41" s="129">
        <v>42</v>
      </c>
      <c r="T41" s="95"/>
      <c r="U41" s="93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109</v>
      </c>
      <c r="D42" s="317"/>
      <c r="E42" s="317"/>
      <c r="F42" s="310" t="s">
        <v>107</v>
      </c>
      <c r="G42" s="311"/>
      <c r="H42" s="311"/>
      <c r="I42" s="310" t="s">
        <v>132</v>
      </c>
      <c r="J42" s="312"/>
      <c r="K42" s="312"/>
      <c r="L42" s="310" t="s">
        <v>319</v>
      </c>
      <c r="M42" s="317"/>
      <c r="N42" s="311"/>
      <c r="O42" s="134" t="s">
        <v>320</v>
      </c>
      <c r="P42" s="9"/>
      <c r="R42" s="299"/>
      <c r="S42" s="129">
        <v>43</v>
      </c>
      <c r="T42" s="95"/>
      <c r="U42" s="93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99"/>
      <c r="S43" s="129">
        <v>44</v>
      </c>
      <c r="T43" s="95" t="s">
        <v>252</v>
      </c>
      <c r="U43" s="93">
        <f>COUNTIF(C21:O34,"=44")</f>
        <v>1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2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2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2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5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5"/>
  <sheetViews>
    <sheetView tabSelected="1" defaultGridColor="0" topLeftCell="A28" colorId="22" workbookViewId="0">
      <selection activeCell="K44" sqref="K44"/>
    </sheetView>
  </sheetViews>
  <sheetFormatPr defaultColWidth="10.85546875" defaultRowHeight="13.7" customHeight="1" x14ac:dyDescent="0.15"/>
  <cols>
    <col min="1" max="1" width="4.7109375" style="207" customWidth="1"/>
    <col min="2" max="2" width="7.28515625" style="207" customWidth="1"/>
    <col min="3" max="3" width="16.7109375" style="207" customWidth="1"/>
    <col min="4" max="4" width="3.5703125" style="207" customWidth="1"/>
    <col min="5" max="5" width="7.28515625" style="207" customWidth="1"/>
    <col min="6" max="6" width="16.7109375" style="207" customWidth="1"/>
    <col min="7" max="7" width="3.5703125" style="207" customWidth="1"/>
    <col min="8" max="8" width="7.28515625" style="207" customWidth="1"/>
    <col min="9" max="9" width="16.7109375" style="246" customWidth="1"/>
    <col min="10" max="10" width="3.5703125" style="246" customWidth="1"/>
    <col min="11" max="11" width="7.28515625" style="246" customWidth="1"/>
    <col min="12" max="12" width="16.7109375" style="207" customWidth="1"/>
    <col min="13" max="13" width="3.5703125" style="207" customWidth="1"/>
    <col min="14" max="14" width="7.28515625" style="207" customWidth="1"/>
    <col min="15" max="15" width="16.7109375" style="207" customWidth="1"/>
    <col min="16" max="16" width="3.5703125" style="207" customWidth="1"/>
    <col min="17" max="17" width="7.28515625" style="207" customWidth="1"/>
    <col min="18" max="18" width="16.7109375" style="207" customWidth="1"/>
    <col min="19" max="19" width="3.5703125" style="207" customWidth="1"/>
    <col min="20" max="20" width="1.28515625" style="209" customWidth="1"/>
    <col min="21" max="16384" width="10.85546875" style="209"/>
  </cols>
  <sheetData>
    <row r="1" spans="1:19" ht="21" customHeight="1" x14ac:dyDescent="0.15">
      <c r="A1" s="205"/>
      <c r="B1" s="205"/>
      <c r="C1" s="205"/>
      <c r="D1" s="205"/>
      <c r="E1" s="205"/>
      <c r="F1" s="205"/>
      <c r="G1" s="205"/>
      <c r="H1" s="205"/>
      <c r="I1" s="206"/>
      <c r="J1" s="206"/>
      <c r="K1" s="206"/>
      <c r="L1" s="205"/>
      <c r="M1" s="205"/>
      <c r="N1" s="205"/>
      <c r="O1" s="205"/>
      <c r="P1" s="205"/>
      <c r="Q1" s="205"/>
      <c r="S1" s="208"/>
    </row>
    <row r="2" spans="1:19" ht="21" customHeight="1" x14ac:dyDescent="0.15">
      <c r="A2" s="210"/>
      <c r="B2" s="211"/>
      <c r="C2" s="277" t="s">
        <v>417</v>
      </c>
      <c r="D2" s="278"/>
      <c r="E2" s="278"/>
      <c r="F2" s="278"/>
      <c r="G2" s="278"/>
      <c r="H2" s="278"/>
      <c r="I2" s="210"/>
      <c r="J2" s="210"/>
      <c r="K2" s="211"/>
      <c r="L2" s="210"/>
      <c r="M2" s="210"/>
      <c r="N2" s="211"/>
      <c r="O2" s="210"/>
      <c r="P2" s="210"/>
      <c r="Q2" s="211"/>
      <c r="R2" s="210"/>
      <c r="S2" s="208"/>
    </row>
    <row r="3" spans="1:19" ht="21" customHeight="1" x14ac:dyDescent="0.15">
      <c r="A3" s="210"/>
      <c r="B3" s="211"/>
      <c r="C3" s="210"/>
      <c r="D3" s="210"/>
      <c r="E3" s="211"/>
      <c r="F3" s="210"/>
      <c r="G3" s="210"/>
      <c r="H3" s="211"/>
      <c r="I3" s="210"/>
      <c r="J3" s="210"/>
      <c r="K3" s="211"/>
      <c r="L3" s="210"/>
      <c r="M3" s="210"/>
      <c r="N3" s="211"/>
      <c r="O3" s="210"/>
      <c r="P3" s="210"/>
      <c r="Q3" s="211"/>
      <c r="R3" s="210"/>
      <c r="S3" s="208"/>
    </row>
    <row r="4" spans="1:19" ht="21" customHeight="1" x14ac:dyDescent="0.15">
      <c r="A4" s="210"/>
      <c r="B4" s="211"/>
      <c r="C4" s="277" t="s">
        <v>418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10"/>
      <c r="S4" s="208"/>
    </row>
    <row r="5" spans="1:19" ht="21" customHeight="1" thickBot="1" x14ac:dyDescent="0.2">
      <c r="A5" s="210"/>
      <c r="B5" s="211"/>
      <c r="C5" s="210"/>
      <c r="D5" s="210"/>
      <c r="E5" s="211"/>
      <c r="F5" s="210"/>
      <c r="G5" s="210"/>
      <c r="H5" s="211"/>
      <c r="I5" s="210"/>
      <c r="J5" s="210"/>
      <c r="K5" s="211"/>
      <c r="L5" s="210"/>
      <c r="M5" s="210"/>
      <c r="N5" s="211"/>
      <c r="O5" s="210"/>
      <c r="P5" s="210"/>
      <c r="Q5" s="211"/>
      <c r="R5" s="210"/>
      <c r="S5" s="208"/>
    </row>
    <row r="6" spans="1:19" ht="21" customHeight="1" x14ac:dyDescent="0.15">
      <c r="A6" s="210"/>
      <c r="B6" s="211"/>
      <c r="C6" s="337" t="s">
        <v>34</v>
      </c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9"/>
      <c r="R6" s="212"/>
      <c r="S6" s="208"/>
    </row>
    <row r="7" spans="1:19" ht="21" customHeight="1" x14ac:dyDescent="0.15">
      <c r="A7" s="210"/>
      <c r="B7" s="211"/>
      <c r="C7" s="340" t="s">
        <v>35</v>
      </c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2"/>
      <c r="R7" s="212"/>
      <c r="S7" s="208"/>
    </row>
    <row r="8" spans="1:19" ht="21" customHeight="1" x14ac:dyDescent="0.15">
      <c r="A8" s="210"/>
      <c r="B8" s="211"/>
      <c r="C8" s="343" t="s">
        <v>419</v>
      </c>
      <c r="D8" s="344"/>
      <c r="E8" s="345"/>
      <c r="F8" s="344"/>
      <c r="G8" s="344"/>
      <c r="H8" s="344"/>
      <c r="I8" s="346"/>
      <c r="J8" s="346"/>
      <c r="K8" s="347"/>
      <c r="L8" s="346"/>
      <c r="M8" s="346"/>
      <c r="N8" s="347"/>
      <c r="O8" s="346"/>
      <c r="P8" s="346"/>
      <c r="Q8" s="348"/>
      <c r="R8" s="212"/>
      <c r="S8" s="208"/>
    </row>
    <row r="9" spans="1:19" ht="21" customHeight="1" x14ac:dyDescent="0.15">
      <c r="A9" s="210"/>
      <c r="B9" s="211"/>
      <c r="C9" s="349" t="s">
        <v>420</v>
      </c>
      <c r="D9" s="344"/>
      <c r="E9" s="345"/>
      <c r="F9" s="344"/>
      <c r="G9" s="344"/>
      <c r="H9" s="344"/>
      <c r="I9" s="346"/>
      <c r="J9" s="346"/>
      <c r="K9" s="347"/>
      <c r="L9" s="346"/>
      <c r="M9" s="346"/>
      <c r="N9" s="347"/>
      <c r="O9" s="346"/>
      <c r="P9" s="346"/>
      <c r="Q9" s="348"/>
      <c r="R9" s="212"/>
      <c r="S9" s="208"/>
    </row>
    <row r="10" spans="1:19" ht="21" customHeight="1" x14ac:dyDescent="0.15">
      <c r="A10" s="210"/>
      <c r="B10" s="211"/>
      <c r="C10" s="349" t="s">
        <v>421</v>
      </c>
      <c r="D10" s="344"/>
      <c r="E10" s="345"/>
      <c r="F10" s="344"/>
      <c r="G10" s="344"/>
      <c r="H10" s="344"/>
      <c r="I10" s="346"/>
      <c r="J10" s="346"/>
      <c r="K10" s="347"/>
      <c r="L10" s="346"/>
      <c r="M10" s="346"/>
      <c r="N10" s="347"/>
      <c r="O10" s="346"/>
      <c r="P10" s="346"/>
      <c r="Q10" s="348"/>
      <c r="R10" s="212"/>
      <c r="S10" s="208"/>
    </row>
    <row r="11" spans="1:19" ht="21" customHeight="1" x14ac:dyDescent="0.15">
      <c r="A11" s="210"/>
      <c r="B11" s="211"/>
      <c r="C11" s="349" t="s">
        <v>422</v>
      </c>
      <c r="D11" s="344"/>
      <c r="E11" s="345"/>
      <c r="F11" s="344"/>
      <c r="G11" s="344"/>
      <c r="H11" s="344"/>
      <c r="I11" s="346"/>
      <c r="J11" s="346"/>
      <c r="K11" s="347"/>
      <c r="L11" s="346"/>
      <c r="M11" s="346"/>
      <c r="N11" s="347"/>
      <c r="O11" s="346"/>
      <c r="P11" s="346"/>
      <c r="Q11" s="348"/>
      <c r="R11" s="212"/>
      <c r="S11" s="208"/>
    </row>
    <row r="12" spans="1:19" ht="21" customHeight="1" thickBot="1" x14ac:dyDescent="0.2">
      <c r="A12" s="210"/>
      <c r="B12" s="211"/>
      <c r="C12" s="350" t="s">
        <v>423</v>
      </c>
      <c r="D12" s="351"/>
      <c r="E12" s="352"/>
      <c r="F12" s="351"/>
      <c r="G12" s="351"/>
      <c r="H12" s="351"/>
      <c r="I12" s="353"/>
      <c r="J12" s="353"/>
      <c r="K12" s="354"/>
      <c r="L12" s="353"/>
      <c r="M12" s="353"/>
      <c r="N12" s="354"/>
      <c r="O12" s="353"/>
      <c r="P12" s="353"/>
      <c r="Q12" s="355"/>
      <c r="R12" s="212"/>
      <c r="S12" s="208"/>
    </row>
    <row r="13" spans="1:19" ht="21" customHeight="1" x14ac:dyDescent="0.15">
      <c r="A13" s="210"/>
      <c r="B13" s="211"/>
      <c r="C13" s="212"/>
      <c r="D13" s="212"/>
      <c r="E13" s="213"/>
      <c r="F13" s="212"/>
      <c r="G13" s="212"/>
      <c r="H13" s="213"/>
      <c r="I13" s="212"/>
      <c r="J13" s="212"/>
      <c r="K13" s="213"/>
      <c r="L13" s="212"/>
      <c r="M13" s="212"/>
      <c r="N13" s="213"/>
      <c r="O13" s="212"/>
      <c r="P13" s="212"/>
      <c r="Q13" s="211"/>
      <c r="R13" s="210"/>
      <c r="S13" s="208"/>
    </row>
    <row r="14" spans="1:19" ht="21" customHeight="1" thickBot="1" x14ac:dyDescent="0.2">
      <c r="A14" s="214"/>
      <c r="B14" s="215" t="s">
        <v>168</v>
      </c>
      <c r="C14" s="216"/>
      <c r="D14" s="216"/>
      <c r="E14" s="216"/>
      <c r="F14" s="216"/>
      <c r="G14" s="216"/>
      <c r="H14" s="216"/>
      <c r="I14" s="217"/>
      <c r="J14" s="217"/>
      <c r="K14" s="217"/>
      <c r="L14" s="216"/>
      <c r="M14" s="218"/>
      <c r="N14" s="219"/>
      <c r="O14" s="218"/>
      <c r="P14" s="218"/>
      <c r="Q14" s="219"/>
      <c r="R14" s="210"/>
      <c r="S14" s="208"/>
    </row>
    <row r="15" spans="1:19" ht="21" customHeight="1" x14ac:dyDescent="0.15">
      <c r="A15" s="220"/>
      <c r="B15" s="221"/>
      <c r="C15" s="280" t="s">
        <v>90</v>
      </c>
      <c r="D15" s="281"/>
      <c r="E15" s="281"/>
      <c r="F15" s="280" t="s">
        <v>70</v>
      </c>
      <c r="G15" s="281"/>
      <c r="H15" s="281"/>
      <c r="I15" s="280" t="s">
        <v>414</v>
      </c>
      <c r="J15" s="282"/>
      <c r="K15" s="282"/>
      <c r="L15" s="283" t="s">
        <v>254</v>
      </c>
      <c r="M15" s="284"/>
      <c r="N15" s="285"/>
      <c r="O15" s="218"/>
      <c r="P15" s="218"/>
      <c r="Q15" s="219"/>
      <c r="R15" s="210"/>
      <c r="S15" s="208"/>
    </row>
    <row r="16" spans="1:19" ht="21" customHeight="1" thickBot="1" x14ac:dyDescent="0.2">
      <c r="A16" s="220"/>
      <c r="B16" s="221"/>
      <c r="C16" s="286" t="s">
        <v>424</v>
      </c>
      <c r="D16" s="287"/>
      <c r="E16" s="287"/>
      <c r="F16" s="286" t="s">
        <v>425</v>
      </c>
      <c r="G16" s="287"/>
      <c r="H16" s="287"/>
      <c r="I16" s="286" t="s">
        <v>426</v>
      </c>
      <c r="J16" s="288"/>
      <c r="K16" s="289"/>
      <c r="L16" s="290" t="s">
        <v>427</v>
      </c>
      <c r="M16" s="291"/>
      <c r="N16" s="292"/>
      <c r="O16" s="218"/>
      <c r="P16" s="218"/>
      <c r="Q16" s="219"/>
      <c r="R16" s="210"/>
      <c r="S16" s="208"/>
    </row>
    <row r="17" spans="1:19" ht="21" customHeight="1" thickBot="1" x14ac:dyDescent="0.2">
      <c r="A17" s="220"/>
      <c r="B17" s="222" t="s">
        <v>176</v>
      </c>
      <c r="C17" s="223"/>
      <c r="D17" s="224"/>
      <c r="E17" s="224"/>
      <c r="F17" s="223"/>
      <c r="G17" s="224"/>
      <c r="H17" s="224"/>
      <c r="I17" s="223"/>
      <c r="J17" s="225"/>
      <c r="K17" s="225"/>
      <c r="L17" s="356"/>
      <c r="M17" s="218"/>
      <c r="N17" s="219"/>
      <c r="O17" s="218"/>
      <c r="P17" s="218"/>
      <c r="Q17" s="219"/>
      <c r="R17" s="210"/>
      <c r="S17" s="208"/>
    </row>
    <row r="18" spans="1:19" ht="21" customHeight="1" x14ac:dyDescent="0.15">
      <c r="A18" s="220"/>
      <c r="B18" s="221"/>
      <c r="C18" s="357" t="s">
        <v>90</v>
      </c>
      <c r="D18" s="358"/>
      <c r="E18" s="358"/>
      <c r="F18" s="357" t="s">
        <v>70</v>
      </c>
      <c r="G18" s="358"/>
      <c r="H18" s="358"/>
      <c r="I18" s="357" t="s">
        <v>414</v>
      </c>
      <c r="J18" s="359"/>
      <c r="K18" s="359"/>
      <c r="L18" s="360" t="s">
        <v>254</v>
      </c>
      <c r="M18" s="358"/>
      <c r="N18" s="358"/>
      <c r="O18" s="218"/>
      <c r="P18" s="218"/>
      <c r="Q18" s="219"/>
      <c r="R18" s="210"/>
      <c r="S18" s="208"/>
    </row>
    <row r="19" spans="1:19" ht="21" customHeight="1" thickBot="1" x14ac:dyDescent="0.2">
      <c r="A19" s="210"/>
      <c r="B19" s="219"/>
      <c r="C19" s="293" t="s">
        <v>428</v>
      </c>
      <c r="D19" s="294"/>
      <c r="E19" s="294"/>
      <c r="F19" s="293" t="s">
        <v>429</v>
      </c>
      <c r="G19" s="294"/>
      <c r="H19" s="294"/>
      <c r="I19" s="293" t="s">
        <v>430</v>
      </c>
      <c r="J19" s="295"/>
      <c r="K19" s="295"/>
      <c r="L19" s="361" t="s">
        <v>431</v>
      </c>
      <c r="M19" s="294"/>
      <c r="N19" s="294"/>
      <c r="O19" s="218"/>
      <c r="P19" s="218"/>
      <c r="Q19" s="219"/>
      <c r="R19" s="210"/>
      <c r="S19" s="208"/>
    </row>
    <row r="20" spans="1:19" ht="21" customHeight="1" thickBot="1" x14ac:dyDescent="0.2">
      <c r="A20" s="210"/>
      <c r="B20" s="226" t="s">
        <v>182</v>
      </c>
      <c r="C20" s="218"/>
      <c r="D20" s="218"/>
      <c r="E20" s="219"/>
      <c r="F20" s="218"/>
      <c r="G20" s="218"/>
      <c r="H20" s="219"/>
      <c r="I20" s="218"/>
      <c r="J20" s="218"/>
      <c r="K20" s="219"/>
      <c r="L20" s="218"/>
      <c r="M20" s="218"/>
      <c r="N20" s="219"/>
      <c r="O20" s="218"/>
      <c r="P20" s="218"/>
      <c r="Q20" s="219"/>
      <c r="R20" s="210"/>
      <c r="S20" s="208"/>
    </row>
    <row r="21" spans="1:19" ht="21" customHeight="1" x14ac:dyDescent="0.15">
      <c r="A21" s="210"/>
      <c r="B21" s="219"/>
      <c r="C21" s="362" t="s">
        <v>90</v>
      </c>
      <c r="D21" s="363"/>
      <c r="E21" s="363"/>
      <c r="F21" s="362" t="s">
        <v>70</v>
      </c>
      <c r="G21" s="363"/>
      <c r="H21" s="363"/>
      <c r="I21" s="362" t="s">
        <v>414</v>
      </c>
      <c r="J21" s="364"/>
      <c r="K21" s="364"/>
      <c r="L21" s="365" t="s">
        <v>254</v>
      </c>
      <c r="M21" s="366"/>
      <c r="N21" s="367"/>
      <c r="O21" s="218"/>
      <c r="P21" s="218"/>
      <c r="Q21" s="219"/>
      <c r="R21" s="210"/>
      <c r="S21" s="208"/>
    </row>
    <row r="22" spans="1:19" ht="21" customHeight="1" thickBot="1" x14ac:dyDescent="0.2">
      <c r="A22" s="210"/>
      <c r="B22" s="219"/>
      <c r="C22" s="286" t="s">
        <v>432</v>
      </c>
      <c r="D22" s="287"/>
      <c r="E22" s="287"/>
      <c r="F22" s="286" t="s">
        <v>433</v>
      </c>
      <c r="G22" s="287"/>
      <c r="H22" s="287"/>
      <c r="I22" s="286" t="s">
        <v>434</v>
      </c>
      <c r="J22" s="288"/>
      <c r="K22" s="288"/>
      <c r="L22" s="368" t="s">
        <v>435</v>
      </c>
      <c r="M22" s="369"/>
      <c r="N22" s="370"/>
      <c r="O22" s="218"/>
      <c r="P22" s="218"/>
      <c r="Q22" s="219"/>
      <c r="R22" s="210"/>
      <c r="S22" s="208"/>
    </row>
    <row r="23" spans="1:19" ht="21" customHeight="1" thickBot="1" x14ac:dyDescent="0.2">
      <c r="A23" s="210"/>
      <c r="B23" s="215" t="s">
        <v>187</v>
      </c>
      <c r="C23" s="218"/>
      <c r="D23" s="218"/>
      <c r="E23" s="219"/>
      <c r="F23" s="218"/>
      <c r="G23" s="218"/>
      <c r="H23" s="219"/>
      <c r="I23" s="218"/>
      <c r="J23" s="218"/>
      <c r="K23" s="219"/>
      <c r="L23" s="218"/>
      <c r="M23" s="218"/>
      <c r="N23" s="219"/>
      <c r="O23" s="218"/>
      <c r="P23" s="218"/>
      <c r="Q23" s="219"/>
      <c r="R23" s="210"/>
      <c r="S23" s="208"/>
    </row>
    <row r="24" spans="1:19" ht="21" customHeight="1" x14ac:dyDescent="0.15">
      <c r="A24" s="210"/>
      <c r="B24" s="219"/>
      <c r="C24" s="371" t="s">
        <v>90</v>
      </c>
      <c r="D24" s="363"/>
      <c r="E24" s="363"/>
      <c r="F24" s="371" t="s">
        <v>388</v>
      </c>
      <c r="G24" s="372"/>
      <c r="H24" s="372"/>
      <c r="I24" s="371" t="s">
        <v>415</v>
      </c>
      <c r="J24" s="373"/>
      <c r="K24" s="373"/>
      <c r="L24" s="371" t="s">
        <v>312</v>
      </c>
      <c r="M24" s="363"/>
      <c r="N24" s="363"/>
      <c r="O24" s="365" t="s">
        <v>254</v>
      </c>
      <c r="P24" s="366"/>
      <c r="Q24" s="367"/>
      <c r="R24" s="210"/>
      <c r="S24" s="208"/>
    </row>
    <row r="25" spans="1:19" ht="21" customHeight="1" thickBot="1" x14ac:dyDescent="0.2">
      <c r="A25" s="210"/>
      <c r="B25" s="219"/>
      <c r="C25" s="286" t="s">
        <v>436</v>
      </c>
      <c r="D25" s="287"/>
      <c r="E25" s="287"/>
      <c r="F25" s="286" t="s">
        <v>437</v>
      </c>
      <c r="G25" s="287"/>
      <c r="H25" s="287"/>
      <c r="I25" s="286" t="s">
        <v>434</v>
      </c>
      <c r="J25" s="288"/>
      <c r="K25" s="288"/>
      <c r="L25" s="286" t="s">
        <v>438</v>
      </c>
      <c r="M25" s="287"/>
      <c r="N25" s="287"/>
      <c r="O25" s="368" t="s">
        <v>439</v>
      </c>
      <c r="P25" s="369"/>
      <c r="Q25" s="370"/>
      <c r="R25" s="210"/>
      <c r="S25" s="208"/>
    </row>
    <row r="26" spans="1:19" ht="21" customHeight="1" thickBot="1" x14ac:dyDescent="0.2">
      <c r="A26" s="210"/>
      <c r="B26" s="227" t="s">
        <v>189</v>
      </c>
      <c r="C26" s="218"/>
      <c r="D26" s="218"/>
      <c r="E26" s="219"/>
      <c r="F26" s="218"/>
      <c r="G26" s="218"/>
      <c r="H26" s="219"/>
      <c r="I26" s="218"/>
      <c r="J26" s="218"/>
      <c r="K26" s="219"/>
      <c r="L26" s="218"/>
      <c r="M26" s="218"/>
      <c r="N26" s="219"/>
      <c r="O26" s="218"/>
      <c r="P26" s="218"/>
      <c r="Q26" s="219"/>
      <c r="R26" s="210"/>
      <c r="S26" s="208"/>
    </row>
    <row r="27" spans="1:19" ht="21" customHeight="1" x14ac:dyDescent="0.15">
      <c r="A27" s="210"/>
      <c r="B27" s="219"/>
      <c r="C27" s="374" t="s">
        <v>90</v>
      </c>
      <c r="D27" s="375"/>
      <c r="E27" s="375"/>
      <c r="F27" s="374" t="s">
        <v>70</v>
      </c>
      <c r="G27" s="375"/>
      <c r="H27" s="375"/>
      <c r="I27" s="374" t="s">
        <v>416</v>
      </c>
      <c r="J27" s="375"/>
      <c r="K27" s="375"/>
      <c r="L27" s="374" t="s">
        <v>312</v>
      </c>
      <c r="M27" s="375"/>
      <c r="N27" s="363"/>
      <c r="O27" s="365" t="s">
        <v>254</v>
      </c>
      <c r="P27" s="366"/>
      <c r="Q27" s="367"/>
      <c r="R27" s="210"/>
      <c r="S27" s="208"/>
    </row>
    <row r="28" spans="1:19" ht="21" customHeight="1" thickBot="1" x14ac:dyDescent="0.2">
      <c r="A28" s="210"/>
      <c r="B28" s="219"/>
      <c r="C28" s="286" t="s">
        <v>440</v>
      </c>
      <c r="D28" s="376"/>
      <c r="E28" s="376"/>
      <c r="F28" s="286" t="s">
        <v>441</v>
      </c>
      <c r="G28" s="287"/>
      <c r="H28" s="287"/>
      <c r="I28" s="286" t="s">
        <v>434</v>
      </c>
      <c r="J28" s="288"/>
      <c r="K28" s="288"/>
      <c r="L28" s="286" t="s">
        <v>438</v>
      </c>
      <c r="M28" s="376"/>
      <c r="N28" s="287"/>
      <c r="O28" s="368" t="s">
        <v>431</v>
      </c>
      <c r="P28" s="369"/>
      <c r="Q28" s="370"/>
      <c r="R28" s="210"/>
      <c r="S28" s="208"/>
    </row>
    <row r="29" spans="1:19" ht="21" customHeight="1" thickBot="1" x14ac:dyDescent="0.2">
      <c r="A29" s="210"/>
      <c r="B29" s="226" t="s">
        <v>190</v>
      </c>
      <c r="C29" s="218"/>
      <c r="D29" s="218"/>
      <c r="E29" s="219"/>
      <c r="F29" s="218"/>
      <c r="G29" s="218"/>
      <c r="H29" s="219"/>
      <c r="I29" s="218"/>
      <c r="J29" s="218"/>
      <c r="K29" s="219"/>
      <c r="L29" s="218"/>
      <c r="M29" s="218"/>
      <c r="N29" s="219"/>
      <c r="O29" s="218"/>
      <c r="P29" s="218"/>
      <c r="Q29" s="219"/>
      <c r="R29" s="210"/>
      <c r="S29" s="208"/>
    </row>
    <row r="30" spans="1:19" ht="21" customHeight="1" x14ac:dyDescent="0.15">
      <c r="A30" s="210"/>
      <c r="B30" s="219"/>
      <c r="C30" s="362" t="s">
        <v>90</v>
      </c>
      <c r="D30" s="363"/>
      <c r="E30" s="363"/>
      <c r="F30" s="362" t="s">
        <v>70</v>
      </c>
      <c r="G30" s="363"/>
      <c r="H30" s="363"/>
      <c r="I30" s="362" t="s">
        <v>416</v>
      </c>
      <c r="J30" s="364"/>
      <c r="K30" s="364"/>
      <c r="L30" s="362" t="s">
        <v>312</v>
      </c>
      <c r="M30" s="363"/>
      <c r="N30" s="363"/>
      <c r="O30" s="365" t="s">
        <v>254</v>
      </c>
      <c r="P30" s="366"/>
      <c r="Q30" s="367"/>
      <c r="R30" s="210"/>
      <c r="S30" s="208"/>
    </row>
    <row r="31" spans="1:19" ht="21" customHeight="1" thickBot="1" x14ac:dyDescent="0.2">
      <c r="A31" s="210"/>
      <c r="B31" s="219"/>
      <c r="C31" s="286" t="s">
        <v>442</v>
      </c>
      <c r="D31" s="287"/>
      <c r="E31" s="287"/>
      <c r="F31" s="286" t="s">
        <v>443</v>
      </c>
      <c r="G31" s="287"/>
      <c r="H31" s="287"/>
      <c r="I31" s="286" t="s">
        <v>444</v>
      </c>
      <c r="J31" s="288"/>
      <c r="K31" s="288"/>
      <c r="L31" s="286" t="s">
        <v>443</v>
      </c>
      <c r="M31" s="287"/>
      <c r="N31" s="287"/>
      <c r="O31" s="368" t="s">
        <v>445</v>
      </c>
      <c r="P31" s="369"/>
      <c r="Q31" s="370"/>
      <c r="R31" s="210"/>
      <c r="S31" s="208"/>
    </row>
    <row r="32" spans="1:19" ht="21" customHeight="1" x14ac:dyDescent="0.15">
      <c r="A32" s="228"/>
      <c r="B32" s="229"/>
      <c r="C32" s="208"/>
      <c r="D32" s="208"/>
      <c r="E32" s="229"/>
      <c r="F32" s="208"/>
      <c r="G32" s="208"/>
      <c r="H32" s="229"/>
      <c r="I32" s="208"/>
      <c r="J32" s="208"/>
      <c r="K32" s="229"/>
      <c r="L32" s="208"/>
      <c r="M32" s="208"/>
      <c r="N32" s="229"/>
      <c r="O32" s="208"/>
      <c r="P32" s="208"/>
      <c r="Q32" s="229"/>
      <c r="R32" s="208"/>
      <c r="S32" s="208"/>
    </row>
    <row r="33" spans="1:20" ht="21" customHeight="1" x14ac:dyDescent="0.15">
      <c r="A33" s="228"/>
      <c r="B33" s="231"/>
      <c r="C33" s="232"/>
      <c r="D33" s="232"/>
      <c r="E33" s="231"/>
      <c r="F33" s="232"/>
      <c r="G33" s="232"/>
      <c r="H33" s="231"/>
      <c r="I33" s="232"/>
      <c r="J33" s="232"/>
      <c r="K33" s="231"/>
      <c r="L33" s="232"/>
      <c r="M33" s="232"/>
      <c r="N33" s="231"/>
      <c r="O33" s="232"/>
      <c r="P33" s="232"/>
      <c r="Q33" s="231"/>
      <c r="R33" s="232"/>
      <c r="S33" s="232"/>
    </row>
    <row r="34" spans="1:20" ht="24.95" customHeight="1" thickBot="1" x14ac:dyDescent="0.2">
      <c r="A34" s="228"/>
      <c r="B34" s="230"/>
      <c r="C34" s="270" t="str">
        <f>小1【S2】!$C$2</f>
        <v>小1　3月　【S2】　指導ユニット　モジュール（現学年・ステップ）配当計画</v>
      </c>
      <c r="D34" s="271"/>
      <c r="E34" s="271"/>
      <c r="F34" s="271"/>
      <c r="G34" s="272"/>
      <c r="H34" s="272"/>
      <c r="I34" s="272"/>
      <c r="J34" s="272"/>
      <c r="K34" s="272"/>
      <c r="L34" s="272"/>
      <c r="M34" s="273"/>
      <c r="N34" s="272"/>
      <c r="O34" s="208"/>
      <c r="P34" s="233"/>
      <c r="Q34" s="229"/>
      <c r="R34" s="208"/>
      <c r="S34" s="208"/>
    </row>
    <row r="35" spans="1:20" ht="24.95" customHeight="1" x14ac:dyDescent="0.15">
      <c r="A35" s="234" t="s">
        <v>191</v>
      </c>
      <c r="B35" s="274" t="s">
        <v>192</v>
      </c>
      <c r="C35" s="275"/>
      <c r="D35" s="276"/>
      <c r="E35" s="274" t="s">
        <v>193</v>
      </c>
      <c r="F35" s="275"/>
      <c r="G35" s="276"/>
      <c r="H35" s="274" t="s">
        <v>194</v>
      </c>
      <c r="I35" s="275"/>
      <c r="J35" s="276"/>
      <c r="K35" s="274" t="s">
        <v>195</v>
      </c>
      <c r="L35" s="275"/>
      <c r="M35" s="276"/>
      <c r="N35" s="274" t="s">
        <v>196</v>
      </c>
      <c r="O35" s="275"/>
      <c r="P35" s="276"/>
      <c r="Q35" s="274" t="s">
        <v>197</v>
      </c>
      <c r="R35" s="275"/>
      <c r="S35" s="276"/>
      <c r="T35" s="235"/>
    </row>
    <row r="36" spans="1:20" ht="24.95" customHeight="1" x14ac:dyDescent="0.15">
      <c r="A36" s="236">
        <f>小1【S2】!$A$4</f>
        <v>1</v>
      </c>
      <c r="B36" s="237" t="str">
        <f>小1【S2】!$B$4</f>
        <v>国　語</v>
      </c>
      <c r="C36" s="238" t="str">
        <f>小1【S2】!$C$4</f>
        <v>にているかん字</v>
      </c>
      <c r="D36" s="238" t="str">
        <f>小1【S2】!$D$4</f>
        <v>現</v>
      </c>
      <c r="E36" s="237" t="str">
        <f>小1【S2】!$E$4</f>
        <v>国　語</v>
      </c>
      <c r="F36" s="238" t="str">
        <f>小1【S2】!$F$4</f>
        <v>にているかん字</v>
      </c>
      <c r="G36" s="238" t="str">
        <f>小1【S2】!$G$4</f>
        <v>現</v>
      </c>
      <c r="H36" s="237" t="str">
        <f>小1【S2】!$H$4</f>
        <v>国　語</v>
      </c>
      <c r="I36" s="238" t="str">
        <f>小1【S2】!$I$4</f>
        <v>にているかん字</v>
      </c>
      <c r="J36" s="238" t="str">
        <f>小1【S2】!$J$4</f>
        <v>現</v>
      </c>
      <c r="K36" s="237" t="str">
        <f>小1【S2】!$K$4</f>
        <v>国　語</v>
      </c>
      <c r="L36" s="238" t="str">
        <f>小1【S2】!$L$4</f>
        <v>だってだってのおばあさん</v>
      </c>
      <c r="M36" s="238" t="str">
        <f>小1【S2】!$M$4</f>
        <v>現</v>
      </c>
      <c r="N36" s="237" t="str">
        <f>小1【S2】!$N$4</f>
        <v>国　語</v>
      </c>
      <c r="O36" s="238" t="str">
        <f>小1【S2】!$O$4</f>
        <v>だってだってのおばあさん</v>
      </c>
      <c r="P36" s="238" t="str">
        <f>小1【S2】!$P$4</f>
        <v>現</v>
      </c>
      <c r="Q36" s="237" t="str">
        <f>小1【S2】!$B$9</f>
        <v>国　語</v>
      </c>
      <c r="R36" s="238" t="str">
        <f>小1【S2】!$C$9</f>
        <v>だってだってのおばあさん</v>
      </c>
      <c r="S36" s="238" t="str">
        <f>小1【S2】!$D$9</f>
        <v>現</v>
      </c>
      <c r="T36" s="235"/>
    </row>
    <row r="37" spans="1:20" ht="24.95" customHeight="1" x14ac:dyDescent="0.15">
      <c r="A37" s="239">
        <f>小1【S2】!$A$5</f>
        <v>2</v>
      </c>
      <c r="B37" s="240" t="str">
        <f>小1【S2】!$B$5</f>
        <v>算　数</v>
      </c>
      <c r="C37" s="241" t="str">
        <f>小1【S2】!$C$5</f>
        <v>おおい ほう すくない ほう</v>
      </c>
      <c r="D37" s="241" t="str">
        <f>小1【S2】!$D$5</f>
        <v>現</v>
      </c>
      <c r="E37" s="240" t="str">
        <f>小1【S2】!$E$5</f>
        <v>算　数</v>
      </c>
      <c r="F37" s="241" t="str">
        <f>小1【S2】!$F$5</f>
        <v>もののいち</v>
      </c>
      <c r="G37" s="241" t="str">
        <f>小1【S2】!$G$5</f>
        <v>現</v>
      </c>
      <c r="H37" s="240" t="str">
        <f>小1【S2】!$H$5</f>
        <v>生活科</v>
      </c>
      <c r="I37" s="241" t="str">
        <f>小1【S2】!$I$5</f>
        <v>学習用具・教科用語</v>
      </c>
      <c r="J37" s="241" t="str">
        <f>小1【S2】!$J$5</f>
        <v>現</v>
      </c>
      <c r="K37" s="240" t="str">
        <f>小1【S2】!$K$5</f>
        <v>日本語</v>
      </c>
      <c r="L37" s="241" t="str">
        <f>小1【S2】!$L$5</f>
        <v>日本の文化</v>
      </c>
      <c r="M37" s="241" t="str">
        <f>小1【S2】!$M$5</f>
        <v>ス</v>
      </c>
      <c r="N37" s="240" t="str">
        <f>小1【S2】!$N$5</f>
        <v>日本語</v>
      </c>
      <c r="O37" s="241" t="str">
        <f>小1【S2】!$O$5</f>
        <v>語彙</v>
      </c>
      <c r="P37" s="241" t="str">
        <f>小1【S2】!$P$5</f>
        <v>ス</v>
      </c>
      <c r="Q37" s="240" t="str">
        <f>小1【S2】!$B$10</f>
        <v>算　数</v>
      </c>
      <c r="R37" s="241" t="str">
        <f>小1【S2】!$C$10</f>
        <v>大きさくらべ(1)</v>
      </c>
      <c r="S37" s="241" t="str">
        <f>小1【S2】!$D$10</f>
        <v>ス</v>
      </c>
      <c r="T37" s="235"/>
    </row>
    <row r="38" spans="1:20" ht="24.95" customHeight="1" x14ac:dyDescent="0.15">
      <c r="A38" s="239">
        <f>小1【S2】!$A$6</f>
        <v>3</v>
      </c>
      <c r="B38" s="240" t="str">
        <f>小1【S2】!$B$6</f>
        <v>日本語</v>
      </c>
      <c r="C38" s="241" t="str">
        <f>小1【S2】!$C$6</f>
        <v>家庭生活</v>
      </c>
      <c r="D38" s="241" t="str">
        <f>小1【S2】!$D$6</f>
        <v>ス</v>
      </c>
      <c r="E38" s="240" t="str">
        <f>小1【S2】!$E$6</f>
        <v>日本語</v>
      </c>
      <c r="F38" s="241" t="str">
        <f>小1【S2】!$F$6</f>
        <v>語彙</v>
      </c>
      <c r="G38" s="241" t="str">
        <f>小1【S2】!$G$6</f>
        <v>ス</v>
      </c>
      <c r="H38" s="240" t="str">
        <f>小1【S2】!$H$6</f>
        <v>日本語</v>
      </c>
      <c r="I38" s="241" t="str">
        <f>小1【S2】!$I$6</f>
        <v>学校生活</v>
      </c>
      <c r="J38" s="241" t="str">
        <f>小1【S2】!$J$6</f>
        <v>ス</v>
      </c>
      <c r="K38" s="240" t="str">
        <f>小1【S2】!$K$6</f>
        <v>日本語</v>
      </c>
      <c r="L38" s="241" t="str">
        <f>小1【S2】!$L$6</f>
        <v>語彙</v>
      </c>
      <c r="M38" s="241" t="str">
        <f>小1【S2】!$M$6</f>
        <v>ス</v>
      </c>
      <c r="N38" s="240" t="str">
        <f>小1【S2】!$N$6</f>
        <v>日本語</v>
      </c>
      <c r="O38" s="241" t="str">
        <f>小1【S2】!$O$6</f>
        <v>日本語能力試験</v>
      </c>
      <c r="P38" s="241" t="str">
        <f>小1【S2】!$P$6</f>
        <v>ス</v>
      </c>
      <c r="Q38" s="240" t="str">
        <f>小1【S2】!$B$11</f>
        <v>図　工</v>
      </c>
      <c r="R38" s="241" t="str">
        <f>小1【S2】!$C$11</f>
        <v>学習用具・教科用語</v>
      </c>
      <c r="S38" s="241" t="str">
        <f>小1【S2】!$D$11</f>
        <v>ス</v>
      </c>
      <c r="T38" s="235"/>
    </row>
    <row r="39" spans="1:20" ht="24.95" customHeight="1" x14ac:dyDescent="0.15">
      <c r="A39" s="239">
        <f>小1【S2】!$A$7</f>
        <v>4</v>
      </c>
      <c r="B39" s="240" t="str">
        <f>小1【S2】!$B$7</f>
        <v>算　数</v>
      </c>
      <c r="C39" s="241" t="str">
        <f>小1【S2】!$C$7</f>
        <v>たすのかな ひくのかな</v>
      </c>
      <c r="D39" s="241" t="str">
        <f>小1【S2】!$D$7</f>
        <v>ス</v>
      </c>
      <c r="E39" s="240" t="str">
        <f>小1【S2】!$E$7</f>
        <v>算　数</v>
      </c>
      <c r="F39" s="241" t="str">
        <f>小1【S2】!$F$7</f>
        <v>たすのかな ひくのかな</v>
      </c>
      <c r="G39" s="241" t="str">
        <f>小1【S2】!$G$7</f>
        <v>ス</v>
      </c>
      <c r="H39" s="240" t="str">
        <f>小1【S2】!$H$7</f>
        <v>算　数</v>
      </c>
      <c r="I39" s="241" t="str">
        <f>小1【S2】!$I$7</f>
        <v>なんばんめ</v>
      </c>
      <c r="J39" s="241" t="str">
        <f>小1【S2】!$J$7</f>
        <v>ス</v>
      </c>
      <c r="K39" s="240" t="str">
        <f>小1【S2】!$K$7</f>
        <v>算　数</v>
      </c>
      <c r="L39" s="241" t="str">
        <f>小1【S2】!$L$7</f>
        <v>なんばんめ</v>
      </c>
      <c r="M39" s="241" t="str">
        <f>小1【S2】!$M$7</f>
        <v>ス</v>
      </c>
      <c r="N39" s="240" t="str">
        <f>小1【S2】!$N$7</f>
        <v>算　数</v>
      </c>
      <c r="O39" s="241" t="str">
        <f>小1【S2】!$O$7</f>
        <v>大きさくらべ(1)</v>
      </c>
      <c r="P39" s="241" t="str">
        <f>小1【S2】!$P$7</f>
        <v>ス</v>
      </c>
      <c r="Q39" s="240" t="str">
        <f>小1【S2】!$B$12</f>
        <v>日本語</v>
      </c>
      <c r="R39" s="241" t="str">
        <f>小1【S2】!$C$12</f>
        <v>学校生活</v>
      </c>
      <c r="S39" s="241" t="str">
        <f>小1【S2】!$D$12</f>
        <v>ス</v>
      </c>
      <c r="T39" s="235"/>
    </row>
    <row r="40" spans="1:20" ht="24.95" customHeight="1" x14ac:dyDescent="0.15">
      <c r="A40" s="242"/>
      <c r="B40" s="274" t="s">
        <v>198</v>
      </c>
      <c r="C40" s="275"/>
      <c r="D40" s="276"/>
      <c r="E40" s="274" t="s">
        <v>199</v>
      </c>
      <c r="F40" s="275"/>
      <c r="G40" s="276"/>
      <c r="H40" s="243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</row>
    <row r="41" spans="1:20" ht="24.95" customHeight="1" x14ac:dyDescent="0.15">
      <c r="A41" s="236">
        <f>小1【S2】!$A$4</f>
        <v>1</v>
      </c>
      <c r="B41" s="237" t="str">
        <f>小1【S2】!$E$9</f>
        <v>国　語</v>
      </c>
      <c r="C41" s="238" t="str">
        <f>小1【S2】!$F$9</f>
        <v>いいこといっぱい、一年生</v>
      </c>
      <c r="D41" s="238" t="str">
        <f>小1【S2】!$G$9</f>
        <v>現</v>
      </c>
      <c r="E41" s="237" t="str">
        <f>小1【S2】!$H$9</f>
        <v>国　語</v>
      </c>
      <c r="F41" s="238" t="str">
        <f>小1【S2】!$I$9</f>
        <v>いいこといっぱい、一年生</v>
      </c>
      <c r="G41" s="238" t="str">
        <f>小1【S2】!$J$9</f>
        <v>現</v>
      </c>
      <c r="H41" s="245"/>
    </row>
    <row r="42" spans="1:20" ht="24.95" customHeight="1" x14ac:dyDescent="0.15">
      <c r="A42" s="239">
        <f>小1【S2】!$A$5</f>
        <v>2</v>
      </c>
      <c r="B42" s="240" t="str">
        <f>小1【S2】!$E$10</f>
        <v>音　楽</v>
      </c>
      <c r="C42" s="241" t="str">
        <f>小1【S2】!$F$10</f>
        <v>学習用具・教科用語</v>
      </c>
      <c r="D42" s="241" t="str">
        <f>小1【S2】!$G$10</f>
        <v>ス</v>
      </c>
      <c r="E42" s="240" t="str">
        <f>小1【S2】!$H$10</f>
        <v>算　数</v>
      </c>
      <c r="F42" s="241" t="str">
        <f>小1【S2】!$I$10</f>
        <v>大きさくらべ(2)</v>
      </c>
      <c r="G42" s="241" t="str">
        <f>小1【S2】!$J$10</f>
        <v>現</v>
      </c>
      <c r="H42" s="245"/>
    </row>
    <row r="43" spans="1:20" ht="24.95" customHeight="1" x14ac:dyDescent="0.15">
      <c r="A43" s="239">
        <f>小1【S2】!$A$6</f>
        <v>3</v>
      </c>
      <c r="B43" s="240" t="str">
        <f>小1【S2】!$E$11</f>
        <v>日本語</v>
      </c>
      <c r="C43" s="241" t="str">
        <f>小1【S2】!$F$11</f>
        <v>家庭生活</v>
      </c>
      <c r="D43" s="241" t="str">
        <f>小1【S2】!$G$11</f>
        <v>ス</v>
      </c>
      <c r="E43" s="240" t="str">
        <f>小1【S2】!$H$11</f>
        <v>日本語</v>
      </c>
      <c r="F43" s="241" t="str">
        <f>小1【S2】!$I$11</f>
        <v>学校生活</v>
      </c>
      <c r="G43" s="241" t="str">
        <f>小1【S2】!$J$11</f>
        <v>ス</v>
      </c>
      <c r="H43" s="245"/>
    </row>
    <row r="44" spans="1:20" ht="24.95" customHeight="1" x14ac:dyDescent="0.15">
      <c r="A44" s="239">
        <f>小1【S2】!$A$7</f>
        <v>4</v>
      </c>
      <c r="B44" s="240" t="str">
        <f>小1【S2】!$E$12</f>
        <v>日本語</v>
      </c>
      <c r="C44" s="241" t="str">
        <f>小1【S2】!$F$12</f>
        <v>語彙</v>
      </c>
      <c r="D44" s="241" t="str">
        <f>小1【S2】!$G$12</f>
        <v>ス</v>
      </c>
      <c r="E44" s="240" t="str">
        <f>小1【S2】!$H$12</f>
        <v>日本語</v>
      </c>
      <c r="F44" s="241" t="str">
        <f>小1【S2】!$I$12</f>
        <v>家庭生活</v>
      </c>
      <c r="G44" s="241" t="str">
        <f>小1【S2】!$J$12</f>
        <v>ス</v>
      </c>
      <c r="H44" s="245"/>
    </row>
    <row r="45" spans="1:20" ht="24.95" customHeight="1" x14ac:dyDescent="0.15">
      <c r="A45" s="242"/>
      <c r="B45" s="247"/>
      <c r="C45" s="248"/>
      <c r="D45" s="248"/>
      <c r="E45" s="247"/>
      <c r="F45" s="248"/>
      <c r="G45" s="248"/>
      <c r="H45" s="249"/>
      <c r="I45" s="250"/>
      <c r="J45" s="250"/>
      <c r="K45" s="249"/>
      <c r="L45" s="251"/>
      <c r="M45" s="251"/>
      <c r="N45" s="249"/>
      <c r="O45" s="251"/>
      <c r="P45" s="251"/>
      <c r="Q45" s="229"/>
      <c r="R45" s="208"/>
      <c r="S45" s="208"/>
    </row>
    <row r="46" spans="1:20" ht="24.95" customHeight="1" x14ac:dyDescent="0.15">
      <c r="A46" s="228"/>
      <c r="B46" s="229"/>
      <c r="C46" s="270" t="str">
        <f>小1【S3】!$C$2</f>
        <v>小1　3月　【S3】　指導ユニット　モジュール（現学年・ステップ）配当計画</v>
      </c>
      <c r="D46" s="271"/>
      <c r="E46" s="271"/>
      <c r="F46" s="271"/>
      <c r="G46" s="272"/>
      <c r="H46" s="272"/>
      <c r="I46" s="272"/>
      <c r="J46" s="272"/>
      <c r="K46" s="272"/>
      <c r="L46" s="272"/>
      <c r="M46" s="273"/>
      <c r="N46" s="272"/>
      <c r="O46" s="208"/>
      <c r="P46" s="208"/>
      <c r="Q46" s="229"/>
      <c r="R46" s="208"/>
      <c r="S46" s="208"/>
    </row>
    <row r="47" spans="1:20" ht="24.95" customHeight="1" x14ac:dyDescent="0.15">
      <c r="A47" s="234" t="s">
        <v>191</v>
      </c>
      <c r="B47" s="274" t="s">
        <v>192</v>
      </c>
      <c r="C47" s="275"/>
      <c r="D47" s="276"/>
      <c r="E47" s="274" t="s">
        <v>193</v>
      </c>
      <c r="F47" s="275"/>
      <c r="G47" s="276"/>
      <c r="H47" s="274" t="s">
        <v>194</v>
      </c>
      <c r="I47" s="275"/>
      <c r="J47" s="276"/>
      <c r="K47" s="274" t="s">
        <v>195</v>
      </c>
      <c r="L47" s="275"/>
      <c r="M47" s="276"/>
      <c r="N47" s="274" t="s">
        <v>196</v>
      </c>
      <c r="O47" s="275"/>
      <c r="P47" s="276"/>
      <c r="Q47" s="274" t="s">
        <v>197</v>
      </c>
      <c r="R47" s="275"/>
      <c r="S47" s="276"/>
      <c r="T47" s="235"/>
    </row>
    <row r="48" spans="1:20" ht="24.95" customHeight="1" x14ac:dyDescent="0.15">
      <c r="A48" s="236">
        <f>小1【S3】!$A$4</f>
        <v>1</v>
      </c>
      <c r="B48" s="237" t="str">
        <f>小1【S3】!$B$4</f>
        <v>国　語</v>
      </c>
      <c r="C48" s="238" t="str">
        <f>小1【S3】!$C$4</f>
        <v>にているかん字</v>
      </c>
      <c r="D48" s="238" t="str">
        <f>小1【S3】!$D$4</f>
        <v>現</v>
      </c>
      <c r="E48" s="237" t="str">
        <f>小1【S3】!$E$4</f>
        <v>国　語</v>
      </c>
      <c r="F48" s="238" t="str">
        <f>小1【S3】!$F$4</f>
        <v>にているかん字</v>
      </c>
      <c r="G48" s="238" t="str">
        <f>小1【S3】!$G$4</f>
        <v>現</v>
      </c>
      <c r="H48" s="237" t="str">
        <f>小1【S3】!$H$4</f>
        <v>国　語</v>
      </c>
      <c r="I48" s="238" t="str">
        <f>小1【S3】!$I$4</f>
        <v>だってだってのおばあさん</v>
      </c>
      <c r="J48" s="238" t="str">
        <f>小1【S3】!$J$4</f>
        <v>現</v>
      </c>
      <c r="K48" s="237" t="str">
        <f>小1【S3】!$K$4</f>
        <v>国　語</v>
      </c>
      <c r="L48" s="238" t="str">
        <f>小1【S3】!$L$4</f>
        <v>だってだってのおばあさん</v>
      </c>
      <c r="M48" s="238" t="str">
        <f>小1【S3】!$M$4</f>
        <v>現</v>
      </c>
      <c r="N48" s="237" t="str">
        <f>小1【S3】!$N$4</f>
        <v>国　語</v>
      </c>
      <c r="O48" s="238" t="str">
        <f>小1【S3】!$O$4</f>
        <v>いいこといっぱい、一年生</v>
      </c>
      <c r="P48" s="238" t="str">
        <f>小1【S3】!$P$4</f>
        <v>現</v>
      </c>
      <c r="Q48" s="237" t="str">
        <f>小1【S3】!$B$9</f>
        <v>国　語</v>
      </c>
      <c r="R48" s="238" t="str">
        <f>小1【S3】!$C$9</f>
        <v>いいこといっぱい、一年生</v>
      </c>
      <c r="S48" s="238" t="str">
        <f>小1【S3】!$D$9</f>
        <v>現</v>
      </c>
      <c r="T48" s="235"/>
    </row>
    <row r="49" spans="1:20" ht="24.95" customHeight="1" x14ac:dyDescent="0.15">
      <c r="A49" s="239">
        <f>小1【S3】!$A$5</f>
        <v>2</v>
      </c>
      <c r="B49" s="240" t="str">
        <f>小1【S3】!$B$5</f>
        <v>算　数</v>
      </c>
      <c r="C49" s="241" t="str">
        <f>小1【S3】!$C$5</f>
        <v>おおい ほう すくない ほう</v>
      </c>
      <c r="D49" s="241" t="str">
        <f>小1【S3】!$D$5</f>
        <v>現</v>
      </c>
      <c r="E49" s="240" t="str">
        <f>小1【S3】!$E$5</f>
        <v>国　語</v>
      </c>
      <c r="F49" s="241" t="str">
        <f>小1【S3】!$F$5</f>
        <v>にているかん字</v>
      </c>
      <c r="G49" s="241" t="str">
        <f>小1【S3】!$G$5</f>
        <v>現</v>
      </c>
      <c r="H49" s="240" t="str">
        <f>小1【S3】!$H$5</f>
        <v>国　語</v>
      </c>
      <c r="I49" s="241" t="str">
        <f>小1【S3】!$I$5</f>
        <v>だってだってのおばあさん</v>
      </c>
      <c r="J49" s="241" t="str">
        <f>小1【S3】!$J$5</f>
        <v>現</v>
      </c>
      <c r="K49" s="240" t="str">
        <f>小1【S3】!$K$5</f>
        <v>算　数</v>
      </c>
      <c r="L49" s="241" t="str">
        <f>小1【S3】!$L$5</f>
        <v>大きさくらべ(2)</v>
      </c>
      <c r="M49" s="241" t="str">
        <f>小1【S3】!$M$5</f>
        <v>現</v>
      </c>
      <c r="N49" s="240" t="str">
        <f>小1【S3】!$N$5</f>
        <v>算　数</v>
      </c>
      <c r="O49" s="241" t="str">
        <f>小1【S3】!$O$5</f>
        <v>もうすぐ2年生</v>
      </c>
      <c r="P49" s="241" t="str">
        <f>小1【S3】!$P$5</f>
        <v>現</v>
      </c>
      <c r="Q49" s="240" t="str">
        <f>小1【S3】!$B$10</f>
        <v>図　工</v>
      </c>
      <c r="R49" s="241" t="str">
        <f>小1【S3】!$C$10</f>
        <v>学習用具・教科用語</v>
      </c>
      <c r="S49" s="241" t="str">
        <f>小1【S3】!$D$10</f>
        <v>現</v>
      </c>
      <c r="T49" s="235"/>
    </row>
    <row r="50" spans="1:20" ht="24.95" customHeight="1" x14ac:dyDescent="0.15">
      <c r="A50" s="239">
        <f>小1【S3】!$A$6</f>
        <v>3</v>
      </c>
      <c r="B50" s="240" t="str">
        <f>小1【S3】!$B$6</f>
        <v>日本語</v>
      </c>
      <c r="C50" s="241" t="str">
        <f>小1【S3】!$C$6</f>
        <v>家庭生活</v>
      </c>
      <c r="D50" s="241" t="str">
        <f>小1【S3】!$D$6</f>
        <v>ス</v>
      </c>
      <c r="E50" s="240" t="str">
        <f>小1【S3】!$E$6</f>
        <v>算　数</v>
      </c>
      <c r="F50" s="241" t="str">
        <f>小1【S3】!$F$6</f>
        <v>たすのかな ひくのかな</v>
      </c>
      <c r="G50" s="241" t="str">
        <f>小1【S3】!$G$6</f>
        <v>ス</v>
      </c>
      <c r="H50" s="240" t="str">
        <f>小1【S3】!$H$6</f>
        <v>算　数</v>
      </c>
      <c r="I50" s="241" t="str">
        <f>小1【S3】!$I$6</f>
        <v>もののいち</v>
      </c>
      <c r="J50" s="241" t="str">
        <f>小1【S3】!$J$6</f>
        <v>現</v>
      </c>
      <c r="K50" s="240" t="str">
        <f>小1【S3】!$K$6</f>
        <v>日本語</v>
      </c>
      <c r="L50" s="241" t="str">
        <f>小1【S3】!$L$6</f>
        <v>日本の文化</v>
      </c>
      <c r="M50" s="241" t="str">
        <f>小1【S3】!$M$6</f>
        <v>ス</v>
      </c>
      <c r="N50" s="240" t="str">
        <f>小1【S3】!$N$6</f>
        <v>生活科</v>
      </c>
      <c r="O50" s="241" t="str">
        <f>小1【S3】!$O$6</f>
        <v>学習用具・教科用語</v>
      </c>
      <c r="P50" s="241" t="str">
        <f>小1【S3】!$P$6</f>
        <v>現</v>
      </c>
      <c r="Q50" s="240" t="str">
        <f>小1【S3】!$B$11</f>
        <v>日本語</v>
      </c>
      <c r="R50" s="241" t="str">
        <f>小1【S3】!$C$11</f>
        <v>日本語能力試験</v>
      </c>
      <c r="S50" s="241" t="str">
        <f>小1【S3】!$D$11</f>
        <v>ス</v>
      </c>
      <c r="T50" s="235"/>
    </row>
    <row r="51" spans="1:20" ht="24.95" customHeight="1" x14ac:dyDescent="0.15">
      <c r="A51" s="239">
        <f>小1【S3】!$A$7</f>
        <v>4</v>
      </c>
      <c r="B51" s="240" t="str">
        <f>小1【S3】!$B$7</f>
        <v>日本語</v>
      </c>
      <c r="C51" s="241" t="str">
        <f>小1【S3】!$C$7</f>
        <v>語彙</v>
      </c>
      <c r="D51" s="241" t="str">
        <f>小1【S3】!$D$7</f>
        <v>ス</v>
      </c>
      <c r="E51" s="240" t="str">
        <f>小1【S3】!$E$7</f>
        <v>日本語</v>
      </c>
      <c r="F51" s="241" t="str">
        <f>小1【S3】!$F$7</f>
        <v>学校生活</v>
      </c>
      <c r="G51" s="241" t="str">
        <f>小1【S3】!$G$7</f>
        <v>ス</v>
      </c>
      <c r="H51" s="240" t="str">
        <f>小1【S3】!$H$7</f>
        <v>算　数</v>
      </c>
      <c r="I51" s="241" t="str">
        <f>小1【S3】!$I$7</f>
        <v>なんばんめ</v>
      </c>
      <c r="J51" s="241" t="str">
        <f>小1【S3】!$J$7</f>
        <v>ス</v>
      </c>
      <c r="K51" s="240" t="str">
        <f>小1【S3】!$K$7</f>
        <v>算　数</v>
      </c>
      <c r="L51" s="241" t="str">
        <f>小1【S3】!$L$7</f>
        <v>大きさくらべ(1)</v>
      </c>
      <c r="M51" s="241" t="str">
        <f>小1【S3】!$M$7</f>
        <v>ス</v>
      </c>
      <c r="N51" s="240" t="str">
        <f>小1【S3】!$N$7</f>
        <v>日本語</v>
      </c>
      <c r="O51" s="241" t="str">
        <f>小1【S3】!$O$7</f>
        <v>語彙</v>
      </c>
      <c r="P51" s="241" t="str">
        <f>小1【S3】!$P$7</f>
        <v>ス</v>
      </c>
      <c r="Q51" s="240" t="str">
        <f>小1【S3】!$B$12</f>
        <v>音　楽</v>
      </c>
      <c r="R51" s="241" t="str">
        <f>小1【S3】!$C$12</f>
        <v>学習用具・教科用語</v>
      </c>
      <c r="S51" s="241" t="str">
        <f>小1【S3】!$D$12</f>
        <v>ス</v>
      </c>
      <c r="T51" s="235"/>
    </row>
    <row r="52" spans="1:20" ht="24.95" customHeight="1" x14ac:dyDescent="0.15">
      <c r="A52" s="252"/>
      <c r="B52" s="253"/>
      <c r="C52" s="254"/>
      <c r="D52" s="254"/>
      <c r="E52" s="253"/>
      <c r="F52" s="254"/>
      <c r="G52" s="254"/>
      <c r="H52" s="253"/>
      <c r="I52" s="255"/>
      <c r="J52" s="255"/>
      <c r="K52" s="253"/>
      <c r="L52" s="254"/>
      <c r="M52" s="254"/>
      <c r="N52" s="253"/>
      <c r="O52" s="254"/>
      <c r="P52" s="254"/>
      <c r="Q52" s="253"/>
      <c r="R52" s="254"/>
      <c r="S52" s="254"/>
    </row>
    <row r="53" spans="1:20" ht="24.95" customHeight="1" x14ac:dyDescent="0.15">
      <c r="A53" s="228"/>
      <c r="B53" s="229"/>
      <c r="C53" s="270" t="str">
        <f>小1【S4】!$C$2</f>
        <v>小1　3月　【S4】　指導ユニット　モジュール（現学年・ステップ）配当計画</v>
      </c>
      <c r="D53" s="271"/>
      <c r="E53" s="271"/>
      <c r="F53" s="271"/>
      <c r="G53" s="272"/>
      <c r="H53" s="272"/>
      <c r="I53" s="272"/>
      <c r="J53" s="272"/>
      <c r="K53" s="272"/>
      <c r="L53" s="272"/>
      <c r="M53" s="273"/>
      <c r="N53" s="272"/>
      <c r="O53" s="208"/>
      <c r="P53" s="208"/>
      <c r="Q53" s="229"/>
      <c r="R53" s="208"/>
      <c r="S53" s="208"/>
    </row>
    <row r="54" spans="1:20" ht="24.95" customHeight="1" x14ac:dyDescent="0.15">
      <c r="A54" s="234" t="s">
        <v>191</v>
      </c>
      <c r="B54" s="274" t="s">
        <v>192</v>
      </c>
      <c r="C54" s="275"/>
      <c r="D54" s="276"/>
      <c r="E54" s="274" t="s">
        <v>193</v>
      </c>
      <c r="F54" s="275"/>
      <c r="G54" s="276"/>
      <c r="H54" s="274" t="s">
        <v>194</v>
      </c>
      <c r="I54" s="275"/>
      <c r="J54" s="276"/>
      <c r="K54" s="274" t="s">
        <v>195</v>
      </c>
      <c r="L54" s="275"/>
      <c r="M54" s="276"/>
      <c r="N54" s="245"/>
    </row>
    <row r="55" spans="1:20" ht="24.95" customHeight="1" x14ac:dyDescent="0.15">
      <c r="A55" s="236">
        <f>小1【S4】!$A$4</f>
        <v>1</v>
      </c>
      <c r="B55" s="237" t="str">
        <f>小1【S4】!$B$4</f>
        <v>国　語</v>
      </c>
      <c r="C55" s="238" t="str">
        <f>小1【S4】!$C$4</f>
        <v>にているかん字</v>
      </c>
      <c r="D55" s="238" t="str">
        <f>小1【S4】!$D$4</f>
        <v>現</v>
      </c>
      <c r="E55" s="237" t="str">
        <f>小1【S4】!$E$4</f>
        <v>国　語</v>
      </c>
      <c r="F55" s="238" t="str">
        <f>小1【S4】!$F$4</f>
        <v>にているかん字</v>
      </c>
      <c r="G55" s="238" t="str">
        <f>小1【S4】!$G$4</f>
        <v>現</v>
      </c>
      <c r="H55" s="237" t="str">
        <f>小1【S4】!$H$4</f>
        <v>国　語</v>
      </c>
      <c r="I55" s="238" t="str">
        <f>小1【S4】!$I$4</f>
        <v>だってだってのおばあさん</v>
      </c>
      <c r="J55" s="238" t="str">
        <f>小1【S4】!$J$4</f>
        <v>現</v>
      </c>
      <c r="K55" s="237" t="str">
        <f>小1【S4】!$K$4</f>
        <v>国　語</v>
      </c>
      <c r="L55" s="238" t="str">
        <f>小1【S4】!$L$4</f>
        <v>いいこといっぱい、一年生</v>
      </c>
      <c r="M55" s="238" t="str">
        <f>小1【S4】!$M$4</f>
        <v>現</v>
      </c>
      <c r="N55" s="245"/>
    </row>
    <row r="56" spans="1:20" ht="24.95" customHeight="1" x14ac:dyDescent="0.15">
      <c r="A56" s="239">
        <f>小1【S4】!$A$5</f>
        <v>2</v>
      </c>
      <c r="B56" s="240" t="str">
        <f>小1【S4】!$B$5</f>
        <v>国　語</v>
      </c>
      <c r="C56" s="241" t="str">
        <f>小1【S4】!$C$5</f>
        <v>にているかん字</v>
      </c>
      <c r="D56" s="241" t="str">
        <f>小1【S4】!$D$5</f>
        <v>現</v>
      </c>
      <c r="E56" s="240" t="str">
        <f>小1【S4】!$E$5</f>
        <v>国　語</v>
      </c>
      <c r="F56" s="241" t="str">
        <f>小1【S4】!$F$5</f>
        <v>だってだってのおばあさん</v>
      </c>
      <c r="G56" s="241" t="str">
        <f>小1【S4】!$G$5</f>
        <v>現</v>
      </c>
      <c r="H56" s="240" t="str">
        <f>小1【S4】!$H$5</f>
        <v>国　語</v>
      </c>
      <c r="I56" s="241" t="str">
        <f>小1【S4】!$I$5</f>
        <v>いいこといっぱい、一年生</v>
      </c>
      <c r="J56" s="241" t="str">
        <f>小1【S4】!$J$5</f>
        <v>現</v>
      </c>
      <c r="K56" s="240" t="str">
        <f>小1【S4】!$K$5</f>
        <v>算　数</v>
      </c>
      <c r="L56" s="241" t="str">
        <f>小1【S4】!$L$5</f>
        <v>もうすぐ2年生</v>
      </c>
      <c r="M56" s="241" t="str">
        <f>小1【S4】!$M$5</f>
        <v>現</v>
      </c>
      <c r="N56" s="245"/>
    </row>
    <row r="57" spans="1:20" ht="24.95" customHeight="1" x14ac:dyDescent="0.15">
      <c r="A57" s="239">
        <f>小1【S4】!$A$6</f>
        <v>3</v>
      </c>
      <c r="B57" s="240" t="str">
        <f>小1【S4】!$B$6</f>
        <v>算　数</v>
      </c>
      <c r="C57" s="241" t="str">
        <f>小1【S4】!$C$6</f>
        <v>おおい ほう すくない ほう</v>
      </c>
      <c r="D57" s="241" t="str">
        <f>小1【S4】!$D$6</f>
        <v>現</v>
      </c>
      <c r="E57" s="240" t="str">
        <f>小1【S4】!$E$6</f>
        <v>算　数</v>
      </c>
      <c r="F57" s="241" t="str">
        <f>小1【S4】!$F$6</f>
        <v>もののいち</v>
      </c>
      <c r="G57" s="241" t="str">
        <f>小1【S4】!$G$6</f>
        <v>現</v>
      </c>
      <c r="H57" s="240" t="str">
        <f>小1【S4】!$H$6</f>
        <v>算　数</v>
      </c>
      <c r="I57" s="241" t="str">
        <f>小1【S4】!$I$6</f>
        <v>大きさくらべ(2)</v>
      </c>
      <c r="J57" s="241" t="str">
        <f>小1【S4】!$J$6</f>
        <v>現</v>
      </c>
      <c r="K57" s="240" t="str">
        <f>小1【S4】!$K$6</f>
        <v>生活科</v>
      </c>
      <c r="L57" s="241" t="str">
        <f>小1【S4】!$L$6</f>
        <v>学習用具・教科用語</v>
      </c>
      <c r="M57" s="241" t="str">
        <f>小1【S4】!$M$6</f>
        <v>現</v>
      </c>
      <c r="N57" s="245"/>
    </row>
    <row r="58" spans="1:20" ht="24.95" customHeight="1" x14ac:dyDescent="0.15">
      <c r="A58" s="239">
        <f>小1【S4】!$A$7</f>
        <v>4</v>
      </c>
      <c r="B58" s="240" t="str">
        <f>小1【S4】!$B$7</f>
        <v>体　育</v>
      </c>
      <c r="C58" s="241" t="str">
        <f>小1【S4】!$C$7</f>
        <v>学習用具・教科用語</v>
      </c>
      <c r="D58" s="241" t="str">
        <f>小1【S4】!$D$7</f>
        <v>ス</v>
      </c>
      <c r="E58" s="240" t="str">
        <f>小1【S4】!$E$7</f>
        <v>日本語</v>
      </c>
      <c r="F58" s="241" t="str">
        <f>小1【S4】!$F$7</f>
        <v>日本の文化</v>
      </c>
      <c r="G58" s="241" t="str">
        <f>小1【S4】!$G$7</f>
        <v>ス</v>
      </c>
      <c r="H58" s="240" t="str">
        <f>小1【S4】!$H$7</f>
        <v>音　楽</v>
      </c>
      <c r="I58" s="241" t="str">
        <f>小1【S4】!$I$7</f>
        <v>学習用具・教科用語</v>
      </c>
      <c r="J58" s="241" t="str">
        <f>小1【S4】!$J$7</f>
        <v>ス</v>
      </c>
      <c r="K58" s="240" t="str">
        <f>小1【S4】!$K$7</f>
        <v>日本語</v>
      </c>
      <c r="L58" s="241" t="str">
        <f>小1【S4】!$L$7</f>
        <v>日本語能力試験</v>
      </c>
      <c r="M58" s="241" t="str">
        <f>小1【S4】!$M$7</f>
        <v>ス</v>
      </c>
      <c r="N58" s="245"/>
    </row>
    <row r="59" spans="1:20" ht="24.95" customHeight="1" x14ac:dyDescent="0.15">
      <c r="A59" s="242"/>
      <c r="B59" s="247"/>
      <c r="C59" s="248"/>
      <c r="D59" s="248"/>
      <c r="E59" s="247"/>
      <c r="F59" s="248"/>
      <c r="G59" s="248"/>
      <c r="H59" s="253"/>
      <c r="I59" s="254"/>
      <c r="J59" s="254"/>
      <c r="K59" s="253"/>
      <c r="L59" s="254"/>
      <c r="M59" s="254"/>
      <c r="N59" s="229"/>
      <c r="O59" s="208"/>
      <c r="P59" s="208"/>
      <c r="Q59" s="229"/>
      <c r="R59" s="208"/>
      <c r="S59" s="208"/>
    </row>
    <row r="60" spans="1:20" ht="24.95" customHeight="1" x14ac:dyDescent="0.15">
      <c r="A60" s="256"/>
      <c r="B60" s="249"/>
      <c r="C60" s="251"/>
      <c r="D60" s="251"/>
      <c r="E60" s="249"/>
      <c r="F60" s="251"/>
      <c r="G60" s="251"/>
      <c r="H60" s="229"/>
      <c r="I60" s="208"/>
      <c r="J60" s="208"/>
      <c r="K60" s="229"/>
      <c r="L60" s="208"/>
      <c r="M60" s="208"/>
      <c r="N60" s="229"/>
      <c r="O60" s="208"/>
      <c r="P60" s="208"/>
      <c r="Q60" s="229"/>
      <c r="R60" s="208"/>
      <c r="S60" s="208"/>
    </row>
    <row r="61" spans="1:20" ht="24.95" customHeight="1" x14ac:dyDescent="0.15">
      <c r="A61" s="228"/>
      <c r="B61" s="230"/>
      <c r="C61" s="270" t="str">
        <f>小2【S2】!$C$2</f>
        <v>小2　3月　【S2】　指導ユニット　モジュール（現学年・ステップ）配当計画</v>
      </c>
      <c r="D61" s="271"/>
      <c r="E61" s="271"/>
      <c r="F61" s="271"/>
      <c r="G61" s="272"/>
      <c r="H61" s="272"/>
      <c r="I61" s="272"/>
      <c r="J61" s="272"/>
      <c r="K61" s="272"/>
      <c r="L61" s="272"/>
      <c r="M61" s="273"/>
      <c r="N61" s="272"/>
      <c r="O61" s="208"/>
      <c r="P61" s="233"/>
      <c r="Q61" s="229"/>
      <c r="R61" s="208"/>
      <c r="S61" s="208"/>
    </row>
    <row r="62" spans="1:20" ht="24.95" customHeight="1" x14ac:dyDescent="0.15">
      <c r="A62" s="234" t="s">
        <v>191</v>
      </c>
      <c r="B62" s="274" t="s">
        <v>192</v>
      </c>
      <c r="C62" s="275"/>
      <c r="D62" s="276"/>
      <c r="E62" s="274" t="s">
        <v>193</v>
      </c>
      <c r="F62" s="275"/>
      <c r="G62" s="276"/>
      <c r="H62" s="274" t="s">
        <v>194</v>
      </c>
      <c r="I62" s="275"/>
      <c r="J62" s="276"/>
      <c r="K62" s="274" t="s">
        <v>195</v>
      </c>
      <c r="L62" s="275"/>
      <c r="M62" s="276"/>
      <c r="N62" s="274" t="s">
        <v>196</v>
      </c>
      <c r="O62" s="275"/>
      <c r="P62" s="276"/>
      <c r="Q62" s="274" t="s">
        <v>197</v>
      </c>
      <c r="R62" s="275"/>
      <c r="S62" s="276"/>
      <c r="T62" s="235"/>
    </row>
    <row r="63" spans="1:20" ht="24.95" customHeight="1" x14ac:dyDescent="0.15">
      <c r="A63" s="236">
        <f>小2【S2】!$A$4</f>
        <v>1</v>
      </c>
      <c r="B63" s="237" t="str">
        <f>小2【S2】!$B$4</f>
        <v>国　語</v>
      </c>
      <c r="C63" s="238" t="str">
        <f>小2【S2】!$C$4</f>
        <v>ことばを楽しもう</v>
      </c>
      <c r="D63" s="238" t="str">
        <f>小2【S2】!$D$4</f>
        <v>現</v>
      </c>
      <c r="E63" s="237" t="str">
        <f>小2【S2】!$E$4</f>
        <v>国　語</v>
      </c>
      <c r="F63" s="238" t="str">
        <f>小2【S2】!$F$4</f>
        <v>ことばを楽しもう</v>
      </c>
      <c r="G63" s="238" t="str">
        <f>小2【S2】!$G$4</f>
        <v>現</v>
      </c>
      <c r="H63" s="237" t="str">
        <f>小2【S2】!$H$4</f>
        <v>国　語</v>
      </c>
      <c r="I63" s="238" t="str">
        <f>小2【S2】!$I$4</f>
        <v>ことばを楽しもう</v>
      </c>
      <c r="J63" s="238" t="str">
        <f>小2【S2】!$J$4</f>
        <v>現</v>
      </c>
      <c r="K63" s="237" t="str">
        <f>小2【S2】!$K$4</f>
        <v>国　語</v>
      </c>
      <c r="L63" s="238" t="str">
        <f>小2【S2】!$L$4</f>
        <v>楽しかったよ、二年生</v>
      </c>
      <c r="M63" s="238" t="str">
        <f>小2【S2】!$M$4</f>
        <v>現</v>
      </c>
      <c r="N63" s="237" t="str">
        <f>小2【S2】!$N$4</f>
        <v>国　語</v>
      </c>
      <c r="O63" s="238" t="str">
        <f>小2【S2】!$O$4</f>
        <v>楽しかったよ、二年生</v>
      </c>
      <c r="P63" s="238" t="str">
        <f>小2【S2】!$P$4</f>
        <v>現</v>
      </c>
      <c r="Q63" s="237" t="str">
        <f>小2【S2】!$B$9</f>
        <v>国　語</v>
      </c>
      <c r="R63" s="238" t="str">
        <f>小2【S2】!$C$9</f>
        <v>はんたいのいみのことば</v>
      </c>
      <c r="S63" s="238" t="str">
        <f>小2【S2】!$D$9</f>
        <v>現</v>
      </c>
      <c r="T63" s="235"/>
    </row>
    <row r="64" spans="1:20" ht="24.95" customHeight="1" x14ac:dyDescent="0.15">
      <c r="A64" s="239">
        <f>小2【S2】!$A$5</f>
        <v>2</v>
      </c>
      <c r="B64" s="240" t="str">
        <f>小2【S2】!$B$5</f>
        <v>算　数</v>
      </c>
      <c r="C64" s="241" t="str">
        <f>小2【S2】!$C$5</f>
        <v>はこの 形</v>
      </c>
      <c r="D64" s="241" t="str">
        <f>小2【S2】!$D$5</f>
        <v>現</v>
      </c>
      <c r="E64" s="240" t="str">
        <f>小2【S2】!$E$5</f>
        <v>算　数</v>
      </c>
      <c r="F64" s="241" t="str">
        <f>小2【S2】!$F$5</f>
        <v>何番目</v>
      </c>
      <c r="G64" s="241" t="str">
        <f>小2【S2】!$G$5</f>
        <v>現</v>
      </c>
      <c r="H64" s="240" t="str">
        <f>小2【S2】!$H$5</f>
        <v>生活科</v>
      </c>
      <c r="I64" s="241" t="str">
        <f>小2【S2】!$I$5</f>
        <v>学習用具・教科用語</v>
      </c>
      <c r="J64" s="241" t="str">
        <f>小2【S2】!$J$5</f>
        <v>現</v>
      </c>
      <c r="K64" s="240" t="str">
        <f>小2【S2】!$K$5</f>
        <v>日本語</v>
      </c>
      <c r="L64" s="241" t="str">
        <f>小2【S2】!$L$5</f>
        <v>日本の文化</v>
      </c>
      <c r="M64" s="241" t="str">
        <f>小2【S2】!$M$5</f>
        <v>ス</v>
      </c>
      <c r="N64" s="240" t="str">
        <f>小2【S2】!$N$5</f>
        <v>日本語</v>
      </c>
      <c r="O64" s="241" t="str">
        <f>小2【S2】!$O$5</f>
        <v>語彙</v>
      </c>
      <c r="P64" s="241" t="str">
        <f>小2【S2】!$P$5</f>
        <v>ス</v>
      </c>
      <c r="Q64" s="240" t="str">
        <f>小2【S2】!$B$10</f>
        <v>算　数</v>
      </c>
      <c r="R64" s="241" t="str">
        <f>小2【S2】!$C$10</f>
        <v>もののいち（小1）</v>
      </c>
      <c r="S64" s="241" t="str">
        <f>小2【S2】!$D$10</f>
        <v>ス</v>
      </c>
      <c r="T64" s="235"/>
    </row>
    <row r="65" spans="1:20" ht="24.95" customHeight="1" x14ac:dyDescent="0.15">
      <c r="A65" s="239">
        <f>小2【S2】!$A$6</f>
        <v>3</v>
      </c>
      <c r="B65" s="240" t="str">
        <f>小2【S2】!$B$6</f>
        <v>国　語</v>
      </c>
      <c r="C65" s="241" t="str">
        <f>小2【S2】!$C$6</f>
        <v>早口言葉（小1）</v>
      </c>
      <c r="D65" s="241" t="str">
        <f>小2【S2】!$D$6</f>
        <v>ス</v>
      </c>
      <c r="E65" s="240" t="str">
        <f>小2【S2】!$E$6</f>
        <v>日本語</v>
      </c>
      <c r="F65" s="241" t="str">
        <f>小2【S2】!$F$6</f>
        <v>学校生活</v>
      </c>
      <c r="G65" s="241" t="str">
        <f>小2【S2】!$G$6</f>
        <v>ス</v>
      </c>
      <c r="H65" s="240" t="str">
        <f>小2【S2】!$H$6</f>
        <v>日本語</v>
      </c>
      <c r="I65" s="241" t="str">
        <f>小2【S2】!$I$6</f>
        <v>家庭生活</v>
      </c>
      <c r="J65" s="241" t="str">
        <f>小2【S2】!$J$6</f>
        <v>ス</v>
      </c>
      <c r="K65" s="240" t="str">
        <f>小2【S2】!$K$6</f>
        <v>国　語</v>
      </c>
      <c r="L65" s="241" t="str">
        <f>小2【S2】!$L$6</f>
        <v>思い出して書こう（小1）</v>
      </c>
      <c r="M65" s="241" t="str">
        <f>小2【S2】!$M$6</f>
        <v>ス</v>
      </c>
      <c r="N65" s="240" t="str">
        <f>小2【S2】!$N$6</f>
        <v>日本語</v>
      </c>
      <c r="O65" s="241" t="str">
        <f>小2【S2】!$O$6</f>
        <v>日本語能力試験</v>
      </c>
      <c r="P65" s="241" t="str">
        <f>小2【S2】!$P$6</f>
        <v>ス</v>
      </c>
      <c r="Q65" s="240" t="str">
        <f>小2【S2】!$B$11</f>
        <v>図　工</v>
      </c>
      <c r="R65" s="241" t="str">
        <f>小2【S2】!$C$11</f>
        <v>学習用具・教科用語</v>
      </c>
      <c r="S65" s="241" t="str">
        <f>小2【S2】!$D$11</f>
        <v>ス</v>
      </c>
      <c r="T65" s="235"/>
    </row>
    <row r="66" spans="1:20" ht="24.95" customHeight="1" x14ac:dyDescent="0.15">
      <c r="A66" s="239">
        <f>小2【S2】!$A$7</f>
        <v>4</v>
      </c>
      <c r="B66" s="240" t="str">
        <f>小2【S2】!$B$7</f>
        <v>算　数</v>
      </c>
      <c r="C66" s="241" t="str">
        <f>小2【S2】!$C$7</f>
        <v>いろいろな かたち（小1）</v>
      </c>
      <c r="D66" s="241" t="str">
        <f>小2【S2】!$D$7</f>
        <v>ス</v>
      </c>
      <c r="E66" s="240" t="str">
        <f>小2【S2】!$E$7</f>
        <v>算　数</v>
      </c>
      <c r="F66" s="241" t="str">
        <f>小2【S2】!$F$7</f>
        <v>いろいろな かたち（小1）</v>
      </c>
      <c r="G66" s="241" t="str">
        <f>小2【S2】!$G$7</f>
        <v>ス</v>
      </c>
      <c r="H66" s="240" t="str">
        <f>小2【S2】!$H$7</f>
        <v>算　数</v>
      </c>
      <c r="I66" s="241" t="str">
        <f>小2【S2】!$I$7</f>
        <v>いろいろな かたち（小1）</v>
      </c>
      <c r="J66" s="241" t="str">
        <f>小2【S2】!$J$7</f>
        <v>ス</v>
      </c>
      <c r="K66" s="240" t="str">
        <f>小2【S2】!$K$7</f>
        <v>算　数</v>
      </c>
      <c r="L66" s="241" t="str">
        <f>小2【S2】!$L$7</f>
        <v>もののいち（小1）</v>
      </c>
      <c r="M66" s="241" t="str">
        <f>小2【S2】!$M$7</f>
        <v>ス</v>
      </c>
      <c r="N66" s="240" t="str">
        <f>小2【S2】!$N$7</f>
        <v>算　数</v>
      </c>
      <c r="O66" s="241" t="str">
        <f>小2【S2】!$O$7</f>
        <v>もののいち（小1）</v>
      </c>
      <c r="P66" s="241" t="str">
        <f>小2【S2】!$P$7</f>
        <v>ス</v>
      </c>
      <c r="Q66" s="240" t="str">
        <f>小2【S2】!$B$12</f>
        <v>日本語</v>
      </c>
      <c r="R66" s="241" t="str">
        <f>小2【S2】!$C$12</f>
        <v>学校生活</v>
      </c>
      <c r="S66" s="241" t="str">
        <f>小2【S2】!$D$12</f>
        <v>ス</v>
      </c>
      <c r="T66" s="235"/>
    </row>
    <row r="67" spans="1:20" ht="24.95" customHeight="1" x14ac:dyDescent="0.15">
      <c r="A67" s="242"/>
      <c r="B67" s="274" t="s">
        <v>198</v>
      </c>
      <c r="C67" s="275"/>
      <c r="D67" s="276"/>
      <c r="E67" s="274" t="s">
        <v>199</v>
      </c>
      <c r="F67" s="275"/>
      <c r="G67" s="276"/>
      <c r="H67" s="274" t="s">
        <v>200</v>
      </c>
      <c r="I67" s="275"/>
      <c r="J67" s="276"/>
      <c r="K67" s="274" t="s">
        <v>201</v>
      </c>
      <c r="L67" s="275"/>
      <c r="M67" s="276"/>
      <c r="N67" s="274" t="s">
        <v>202</v>
      </c>
      <c r="O67" s="275"/>
      <c r="P67" s="276"/>
      <c r="Q67" s="274" t="s">
        <v>203</v>
      </c>
      <c r="R67" s="275"/>
      <c r="S67" s="276"/>
      <c r="T67" s="235"/>
    </row>
    <row r="68" spans="1:20" ht="24.95" customHeight="1" x14ac:dyDescent="0.15">
      <c r="A68" s="236">
        <f>小2【S2】!$A$4</f>
        <v>1</v>
      </c>
      <c r="B68" s="237" t="str">
        <f>小2【S2】!$E$9</f>
        <v>国　語</v>
      </c>
      <c r="C68" s="238" t="str">
        <f>小2【S2】!$F$9</f>
        <v>はんたいのいみのことば</v>
      </c>
      <c r="D68" s="238" t="str">
        <f>小2【S2】!$G$9</f>
        <v>現</v>
      </c>
      <c r="E68" s="237" t="str">
        <f>小2【S2】!$H$9</f>
        <v>国　語</v>
      </c>
      <c r="F68" s="238" t="str">
        <f>小2【S2】!$I$9</f>
        <v>はんたいのいみのことば</v>
      </c>
      <c r="G68" s="238" t="str">
        <f>小2【S2】!$J$9</f>
        <v>現</v>
      </c>
      <c r="H68" s="243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</row>
    <row r="69" spans="1:20" ht="24.95" customHeight="1" x14ac:dyDescent="0.15">
      <c r="A69" s="239">
        <f>小2【S2】!$A$5</f>
        <v>2</v>
      </c>
      <c r="B69" s="240" t="str">
        <f>小2【S2】!$E$10</f>
        <v>音　楽</v>
      </c>
      <c r="C69" s="241" t="str">
        <f>小2【S2】!$F$10</f>
        <v>学習用具・教科用語</v>
      </c>
      <c r="D69" s="241" t="str">
        <f>小2【S2】!$G$10</f>
        <v>ス</v>
      </c>
      <c r="E69" s="240" t="str">
        <f>小2【S2】!$H$10</f>
        <v>算　数</v>
      </c>
      <c r="F69" s="241" t="str">
        <f>小2【S2】!$I$10</f>
        <v>分数</v>
      </c>
      <c r="G69" s="241" t="str">
        <f>小2【S2】!$J$10</f>
        <v>現</v>
      </c>
      <c r="H69" s="245"/>
    </row>
    <row r="70" spans="1:20" ht="24.95" customHeight="1" x14ac:dyDescent="0.15">
      <c r="A70" s="239">
        <f>小2【S2】!$A$6</f>
        <v>3</v>
      </c>
      <c r="B70" s="240" t="str">
        <f>小2【S2】!$E$11</f>
        <v>国　語</v>
      </c>
      <c r="C70" s="241" t="str">
        <f>小2【S2】!$F$11</f>
        <v>はんたいの ことば（小1）</v>
      </c>
      <c r="D70" s="241" t="str">
        <f>小2【S2】!$G$11</f>
        <v>ス</v>
      </c>
      <c r="E70" s="240" t="str">
        <f>小2【S2】!$H$11</f>
        <v>日本語</v>
      </c>
      <c r="F70" s="241" t="str">
        <f>小2【S2】!$I$11</f>
        <v>語彙</v>
      </c>
      <c r="G70" s="241" t="str">
        <f>小2【S2】!$J$11</f>
        <v>ス</v>
      </c>
      <c r="H70" s="245"/>
    </row>
    <row r="71" spans="1:20" ht="24.95" customHeight="1" x14ac:dyDescent="0.15">
      <c r="A71" s="239">
        <f>小2【S2】!$A$7</f>
        <v>4</v>
      </c>
      <c r="B71" s="240" t="str">
        <f>小2【S2】!$E$12</f>
        <v>日本語</v>
      </c>
      <c r="C71" s="241" t="str">
        <f>小2【S2】!$F$12</f>
        <v>語彙</v>
      </c>
      <c r="D71" s="241" t="str">
        <f>小2【S2】!$G$12</f>
        <v>ス</v>
      </c>
      <c r="E71" s="240" t="str">
        <f>小2【S2】!$H$12</f>
        <v>日本語</v>
      </c>
      <c r="F71" s="241" t="str">
        <f>小2【S2】!$I$12</f>
        <v>家庭生活</v>
      </c>
      <c r="G71" s="241" t="str">
        <f>小2【S2】!$J$12</f>
        <v>ス</v>
      </c>
      <c r="H71" s="245"/>
    </row>
    <row r="72" spans="1:20" ht="24.95" customHeight="1" x14ac:dyDescent="0.15">
      <c r="A72" s="242"/>
      <c r="B72" s="247"/>
      <c r="C72" s="248"/>
      <c r="D72" s="248"/>
      <c r="E72" s="247"/>
      <c r="F72" s="248"/>
      <c r="G72" s="248"/>
      <c r="H72" s="245"/>
    </row>
    <row r="73" spans="1:20" ht="24.95" customHeight="1" x14ac:dyDescent="0.15">
      <c r="A73" s="228"/>
      <c r="B73" s="229"/>
      <c r="C73" s="270" t="str">
        <f>小2【S3】!$C$2</f>
        <v>小2　3月　【S3】　指導ユニット　モジュール（現学年・ステップ）配当計画</v>
      </c>
      <c r="D73" s="271"/>
      <c r="E73" s="271"/>
      <c r="F73" s="271"/>
      <c r="G73" s="272"/>
      <c r="H73" s="272"/>
      <c r="I73" s="272"/>
      <c r="J73" s="272"/>
      <c r="K73" s="272"/>
      <c r="L73" s="272"/>
      <c r="M73" s="273"/>
      <c r="N73" s="272"/>
      <c r="O73" s="208"/>
      <c r="P73" s="208"/>
      <c r="Q73" s="229"/>
      <c r="R73" s="208"/>
      <c r="S73" s="208"/>
    </row>
    <row r="74" spans="1:20" ht="24.95" customHeight="1" x14ac:dyDescent="0.15">
      <c r="A74" s="234" t="s">
        <v>191</v>
      </c>
      <c r="B74" s="274" t="s">
        <v>192</v>
      </c>
      <c r="C74" s="275"/>
      <c r="D74" s="276"/>
      <c r="E74" s="274" t="s">
        <v>193</v>
      </c>
      <c r="F74" s="275"/>
      <c r="G74" s="276"/>
      <c r="H74" s="274" t="s">
        <v>194</v>
      </c>
      <c r="I74" s="275"/>
      <c r="J74" s="276"/>
      <c r="K74" s="274" t="s">
        <v>195</v>
      </c>
      <c r="L74" s="275"/>
      <c r="M74" s="276"/>
      <c r="N74" s="274" t="s">
        <v>196</v>
      </c>
      <c r="O74" s="275"/>
      <c r="P74" s="276"/>
      <c r="Q74" s="274" t="s">
        <v>197</v>
      </c>
      <c r="R74" s="275"/>
      <c r="S74" s="276"/>
      <c r="T74" s="235"/>
    </row>
    <row r="75" spans="1:20" ht="24.95" customHeight="1" x14ac:dyDescent="0.15">
      <c r="A75" s="236">
        <f>小2【S3】!$A$4</f>
        <v>1</v>
      </c>
      <c r="B75" s="237" t="str">
        <f>小2【S3】!$B$4</f>
        <v>国　語</v>
      </c>
      <c r="C75" s="238" t="str">
        <f>小2【S3】!$C$4</f>
        <v>ことばを楽しもう</v>
      </c>
      <c r="D75" s="238" t="str">
        <f>小2【S3】!$D$4</f>
        <v>現</v>
      </c>
      <c r="E75" s="237" t="str">
        <f>小2【S3】!$E$4</f>
        <v>国　語</v>
      </c>
      <c r="F75" s="238" t="str">
        <f>小2【S3】!$F$4</f>
        <v>ことばを楽しもう</v>
      </c>
      <c r="G75" s="238" t="str">
        <f>小2【S3】!$G$4</f>
        <v>現</v>
      </c>
      <c r="H75" s="237" t="str">
        <f>小2【S3】!$H$4</f>
        <v>国　語</v>
      </c>
      <c r="I75" s="238" t="str">
        <f>小2【S3】!$I$4</f>
        <v>楽しかったよ、二年生</v>
      </c>
      <c r="J75" s="238" t="str">
        <f>小2【S3】!$J$4</f>
        <v>現</v>
      </c>
      <c r="K75" s="237" t="str">
        <f>小2【S3】!$K$4</f>
        <v>国　語</v>
      </c>
      <c r="L75" s="238" t="str">
        <f>小2【S3】!$L$4</f>
        <v>はんたいのいみのことば</v>
      </c>
      <c r="M75" s="238" t="str">
        <f>小2【S3】!$M$4</f>
        <v>現</v>
      </c>
      <c r="N75" s="237" t="str">
        <f>小2【S3】!$N$4</f>
        <v>国　語</v>
      </c>
      <c r="O75" s="238" t="str">
        <f>小2【S3】!$O$4</f>
        <v>はんたいのいみのことば</v>
      </c>
      <c r="P75" s="238" t="str">
        <f>小2【S3】!$P$4</f>
        <v>現</v>
      </c>
      <c r="Q75" s="237" t="str">
        <f>小2【S3】!$B$9</f>
        <v>国　語</v>
      </c>
      <c r="R75" s="238" t="str">
        <f>小2【S3】!$C$9</f>
        <v>はんたいのいみのことば</v>
      </c>
      <c r="S75" s="238" t="str">
        <f>小2【S3】!$D$9</f>
        <v>現</v>
      </c>
      <c r="T75" s="235"/>
    </row>
    <row r="76" spans="1:20" ht="24.95" customHeight="1" x14ac:dyDescent="0.15">
      <c r="A76" s="239">
        <f>小2【S3】!$A$5</f>
        <v>2</v>
      </c>
      <c r="B76" s="240" t="str">
        <f>小2【S3】!$B$5</f>
        <v>算　数</v>
      </c>
      <c r="C76" s="241" t="str">
        <f>小2【S3】!$C$5</f>
        <v>はこの 形</v>
      </c>
      <c r="D76" s="241" t="str">
        <f>小2【S3】!$D$5</f>
        <v>現</v>
      </c>
      <c r="E76" s="240" t="str">
        <f>小2【S3】!$E$5</f>
        <v>国　語</v>
      </c>
      <c r="F76" s="241" t="str">
        <f>小2【S3】!$F$5</f>
        <v>ことばを楽しもう</v>
      </c>
      <c r="G76" s="241" t="str">
        <f>小2【S3】!$G$5</f>
        <v>現</v>
      </c>
      <c r="H76" s="240" t="str">
        <f>小2【S3】!$H$5</f>
        <v>国　語</v>
      </c>
      <c r="I76" s="241" t="str">
        <f>小2【S3】!$I$5</f>
        <v>楽しかったよ、二年生</v>
      </c>
      <c r="J76" s="241" t="str">
        <f>小2【S3】!$J$5</f>
        <v>現</v>
      </c>
      <c r="K76" s="240" t="str">
        <f>小2【S3】!$K$5</f>
        <v>算　数</v>
      </c>
      <c r="L76" s="241" t="str">
        <f>小2【S3】!$L$5</f>
        <v>何番目</v>
      </c>
      <c r="M76" s="241" t="str">
        <f>小2【S3】!$M$5</f>
        <v>現</v>
      </c>
      <c r="N76" s="240" t="str">
        <f>小2【S3】!$N$5</f>
        <v>算　数</v>
      </c>
      <c r="O76" s="241" t="str">
        <f>小2【S3】!$O$5</f>
        <v>分数</v>
      </c>
      <c r="P76" s="241" t="str">
        <f>小2【S3】!$P$5</f>
        <v>現</v>
      </c>
      <c r="Q76" s="240" t="str">
        <f>小2【S3】!$B$10</f>
        <v>図　工</v>
      </c>
      <c r="R76" s="241" t="str">
        <f>小2【S3】!$C$10</f>
        <v>学習用具・教科用語</v>
      </c>
      <c r="S76" s="241" t="str">
        <f>小2【S3】!$D$10</f>
        <v>現</v>
      </c>
      <c r="T76" s="235"/>
    </row>
    <row r="77" spans="1:20" ht="24.95" customHeight="1" x14ac:dyDescent="0.15">
      <c r="A77" s="239">
        <f>小2【S3】!$A$6</f>
        <v>3</v>
      </c>
      <c r="B77" s="240" t="str">
        <f>小2【S3】!$B$6</f>
        <v>算　数</v>
      </c>
      <c r="C77" s="241" t="str">
        <f>小2【S3】!$C$6</f>
        <v>いろいろな かたち（小1）</v>
      </c>
      <c r="D77" s="241" t="str">
        <f>小2【S3】!$D$6</f>
        <v>ス</v>
      </c>
      <c r="E77" s="240" t="str">
        <f>小2【S3】!$E$6</f>
        <v>日本語</v>
      </c>
      <c r="F77" s="241" t="str">
        <f>小2【S3】!$F$6</f>
        <v>家庭生活</v>
      </c>
      <c r="G77" s="241" t="str">
        <f>小2【S3】!$G$6</f>
        <v>ス</v>
      </c>
      <c r="H77" s="240" t="str">
        <f>小2【S3】!$H$6</f>
        <v>算　数</v>
      </c>
      <c r="I77" s="241" t="str">
        <f>小2【S3】!$I$6</f>
        <v>何番目</v>
      </c>
      <c r="J77" s="241" t="str">
        <f>小2【S3】!$J$6</f>
        <v>現</v>
      </c>
      <c r="K77" s="240" t="str">
        <f>小2【S3】!$K$6</f>
        <v>日本語</v>
      </c>
      <c r="L77" s="241" t="str">
        <f>小2【S3】!$L$6</f>
        <v>日本の文化</v>
      </c>
      <c r="M77" s="241" t="str">
        <f>小2【S3】!$M$6</f>
        <v>ス</v>
      </c>
      <c r="N77" s="240" t="str">
        <f>小2【S3】!$N$6</f>
        <v>生活科</v>
      </c>
      <c r="O77" s="241" t="str">
        <f>小2【S3】!$O$6</f>
        <v>学習用具・教科用語</v>
      </c>
      <c r="P77" s="241" t="str">
        <f>小2【S3】!$P$6</f>
        <v>現</v>
      </c>
      <c r="Q77" s="240" t="str">
        <f>小2【S3】!$B$11</f>
        <v>国　語</v>
      </c>
      <c r="R77" s="241" t="str">
        <f>小2【S3】!$C$11</f>
        <v>はんたいの ことば（小1）</v>
      </c>
      <c r="S77" s="241" t="str">
        <f>小2【S3】!$D$11</f>
        <v>ス</v>
      </c>
      <c r="T77" s="235"/>
    </row>
    <row r="78" spans="1:20" ht="24.95" customHeight="1" x14ac:dyDescent="0.15">
      <c r="A78" s="239">
        <f>小2【S3】!$A$7</f>
        <v>4</v>
      </c>
      <c r="B78" s="240" t="str">
        <f>小2【S3】!$B$7</f>
        <v>日本語</v>
      </c>
      <c r="C78" s="241" t="str">
        <f>小2【S3】!$C$7</f>
        <v>語彙</v>
      </c>
      <c r="D78" s="241" t="str">
        <f>小2【S3】!$D$7</f>
        <v>ス</v>
      </c>
      <c r="E78" s="240" t="str">
        <f>小2【S3】!$E$7</f>
        <v>日本語</v>
      </c>
      <c r="F78" s="241" t="str">
        <f>小2【S3】!$F$7</f>
        <v>学校生活</v>
      </c>
      <c r="G78" s="241" t="str">
        <f>小2【S3】!$G$7</f>
        <v>ス</v>
      </c>
      <c r="H78" s="240" t="str">
        <f>小2【S3】!$H$7</f>
        <v>算　数</v>
      </c>
      <c r="I78" s="241" t="str">
        <f>小2【S3】!$I$7</f>
        <v>もののいち（小1）</v>
      </c>
      <c r="J78" s="241" t="str">
        <f>小2【S3】!$J$7</f>
        <v>ス</v>
      </c>
      <c r="K78" s="240" t="str">
        <f>小2【S3】!$K$7</f>
        <v>算　数</v>
      </c>
      <c r="L78" s="241" t="str">
        <f>小2【S3】!$L$7</f>
        <v>もののいち（小1）</v>
      </c>
      <c r="M78" s="241" t="str">
        <f>小2【S3】!$M$7</f>
        <v>ス</v>
      </c>
      <c r="N78" s="240" t="str">
        <f>小2【S3】!$N$7</f>
        <v>日本語</v>
      </c>
      <c r="O78" s="241" t="str">
        <f>小2【S3】!$O$7</f>
        <v>語彙</v>
      </c>
      <c r="P78" s="241" t="str">
        <f>小2【S3】!$P$7</f>
        <v>ス</v>
      </c>
      <c r="Q78" s="240" t="str">
        <f>小2【S3】!$B$12</f>
        <v>音　楽</v>
      </c>
      <c r="R78" s="241" t="str">
        <f>小2【S3】!$C$12</f>
        <v>学習用具・教科用語</v>
      </c>
      <c r="S78" s="241" t="str">
        <f>小2【S3】!$D$12</f>
        <v>ス</v>
      </c>
      <c r="T78" s="235"/>
    </row>
    <row r="79" spans="1:20" ht="24.95" customHeight="1" x14ac:dyDescent="0.15">
      <c r="A79" s="252"/>
      <c r="B79" s="253"/>
      <c r="C79" s="254"/>
      <c r="D79" s="254"/>
      <c r="E79" s="253"/>
      <c r="F79" s="254"/>
      <c r="G79" s="254"/>
      <c r="H79" s="253"/>
      <c r="I79" s="255"/>
      <c r="J79" s="255"/>
      <c r="K79" s="253"/>
      <c r="L79" s="254"/>
      <c r="M79" s="254"/>
      <c r="N79" s="253"/>
      <c r="O79" s="254"/>
      <c r="P79" s="254"/>
      <c r="Q79" s="253"/>
      <c r="R79" s="254"/>
      <c r="S79" s="254"/>
    </row>
    <row r="80" spans="1:20" ht="24.95" customHeight="1" x14ac:dyDescent="0.15">
      <c r="A80" s="228"/>
      <c r="B80" s="229"/>
      <c r="C80" s="270" t="str">
        <f>小2【S4】!$C$2</f>
        <v>小2　3月　【S4】　指導ユニット　モジュール（現学年・ステップ）配当計画</v>
      </c>
      <c r="D80" s="271"/>
      <c r="E80" s="271"/>
      <c r="F80" s="271"/>
      <c r="G80" s="272"/>
      <c r="H80" s="272"/>
      <c r="I80" s="272"/>
      <c r="J80" s="272"/>
      <c r="K80" s="272"/>
      <c r="L80" s="272"/>
      <c r="M80" s="273"/>
      <c r="N80" s="272"/>
      <c r="O80" s="208"/>
      <c r="P80" s="208"/>
      <c r="Q80" s="229"/>
      <c r="R80" s="208"/>
      <c r="S80" s="208"/>
    </row>
    <row r="81" spans="1:20" ht="24.95" customHeight="1" x14ac:dyDescent="0.15">
      <c r="A81" s="234" t="s">
        <v>191</v>
      </c>
      <c r="B81" s="274" t="s">
        <v>192</v>
      </c>
      <c r="C81" s="275"/>
      <c r="D81" s="276"/>
      <c r="E81" s="274" t="s">
        <v>193</v>
      </c>
      <c r="F81" s="275"/>
      <c r="G81" s="276"/>
      <c r="H81" s="274" t="s">
        <v>194</v>
      </c>
      <c r="I81" s="275"/>
      <c r="J81" s="276"/>
      <c r="K81" s="274" t="s">
        <v>195</v>
      </c>
      <c r="L81" s="275"/>
      <c r="M81" s="276"/>
      <c r="N81" s="245"/>
    </row>
    <row r="82" spans="1:20" ht="24.95" customHeight="1" x14ac:dyDescent="0.15">
      <c r="A82" s="236">
        <f>小2【S4】!$A$4</f>
        <v>1</v>
      </c>
      <c r="B82" s="237" t="str">
        <f>小2【S4】!$B$4</f>
        <v>国　語</v>
      </c>
      <c r="C82" s="238" t="str">
        <f>小2【S4】!$C$4</f>
        <v>ことばを楽しもう</v>
      </c>
      <c r="D82" s="238" t="str">
        <f>小2【S4】!$D$4</f>
        <v>現</v>
      </c>
      <c r="E82" s="237" t="str">
        <f>小2【S4】!$E$4</f>
        <v>国　語</v>
      </c>
      <c r="F82" s="238" t="str">
        <f>小2【S4】!$F$4</f>
        <v>楽しかったよ、二年生</v>
      </c>
      <c r="G82" s="238" t="str">
        <f>小2【S4】!$G$4</f>
        <v>現</v>
      </c>
      <c r="H82" s="237" t="str">
        <f>小2【S4】!$H$4</f>
        <v>国　語</v>
      </c>
      <c r="I82" s="238" t="str">
        <f>小2【S4】!$I$4</f>
        <v>はんたいのいみのことば</v>
      </c>
      <c r="J82" s="238" t="str">
        <f>小2【S4】!$J$4</f>
        <v>現</v>
      </c>
      <c r="K82" s="237" t="str">
        <f>小2【S4】!$K$4</f>
        <v>国　語</v>
      </c>
      <c r="L82" s="238" t="str">
        <f>小2【S4】!$L$4</f>
        <v>はんたいのいみのことば</v>
      </c>
      <c r="M82" s="238" t="str">
        <f>小2【S4】!$M$4</f>
        <v>現</v>
      </c>
      <c r="N82" s="245"/>
    </row>
    <row r="83" spans="1:20" ht="24.95" customHeight="1" x14ac:dyDescent="0.15">
      <c r="A83" s="239">
        <f>小2【S4】!$A$5</f>
        <v>2</v>
      </c>
      <c r="B83" s="240" t="str">
        <f>小2【S4】!$B$5</f>
        <v>国　語</v>
      </c>
      <c r="C83" s="241" t="str">
        <f>小2【S4】!$C$5</f>
        <v>ことばを楽しもう</v>
      </c>
      <c r="D83" s="241" t="str">
        <f>小2【S4】!$D$5</f>
        <v>現</v>
      </c>
      <c r="E83" s="240" t="str">
        <f>小2【S4】!$E$5</f>
        <v>国　語</v>
      </c>
      <c r="F83" s="241" t="str">
        <f>小2【S4】!$F$5</f>
        <v>楽しかったよ、二年生</v>
      </c>
      <c r="G83" s="241" t="str">
        <f>小2【S4】!$G$5</f>
        <v>現</v>
      </c>
      <c r="H83" s="240" t="str">
        <f>小2【S4】!$H$5</f>
        <v>国　語</v>
      </c>
      <c r="I83" s="241" t="str">
        <f>小2【S4】!$I$5</f>
        <v>はんたいのいみのことば</v>
      </c>
      <c r="J83" s="241" t="str">
        <f>小2【S4】!$J$5</f>
        <v>現</v>
      </c>
      <c r="K83" s="240" t="str">
        <f>小2【S4】!$K$5</f>
        <v>算　数</v>
      </c>
      <c r="L83" s="241" t="str">
        <f>小2【S4】!$L$5</f>
        <v>分数</v>
      </c>
      <c r="M83" s="241" t="str">
        <f>小2【S4】!$M$5</f>
        <v>現</v>
      </c>
      <c r="N83" s="245"/>
    </row>
    <row r="84" spans="1:20" ht="24.95" customHeight="1" x14ac:dyDescent="0.15">
      <c r="A84" s="239">
        <f>小2【S4】!$A$6</f>
        <v>3</v>
      </c>
      <c r="B84" s="240" t="str">
        <f>小2【S4】!$B$6</f>
        <v>算　数</v>
      </c>
      <c r="C84" s="241" t="str">
        <f>小2【S4】!$C$6</f>
        <v>はこの 形</v>
      </c>
      <c r="D84" s="241" t="str">
        <f>小2【S4】!$D$6</f>
        <v>現</v>
      </c>
      <c r="E84" s="240" t="str">
        <f>小2【S4】!$E$6</f>
        <v>算　数</v>
      </c>
      <c r="F84" s="241" t="str">
        <f>小2【S4】!$F$6</f>
        <v>何番目</v>
      </c>
      <c r="G84" s="241" t="str">
        <f>小2【S4】!$G$6</f>
        <v>現</v>
      </c>
      <c r="H84" s="240" t="str">
        <f>小2【S4】!$H$6</f>
        <v>算　数</v>
      </c>
      <c r="I84" s="241" t="str">
        <f>小2【S4】!$I$6</f>
        <v>何番目</v>
      </c>
      <c r="J84" s="241" t="str">
        <f>小2【S4】!$J$6</f>
        <v>現</v>
      </c>
      <c r="K84" s="240" t="str">
        <f>小2【S4】!$K$6</f>
        <v>生活科</v>
      </c>
      <c r="L84" s="241" t="str">
        <f>小2【S4】!$L$6</f>
        <v>学習用具・教科用語</v>
      </c>
      <c r="M84" s="241" t="str">
        <f>小2【S4】!$M$6</f>
        <v>現</v>
      </c>
      <c r="N84" s="245"/>
    </row>
    <row r="85" spans="1:20" ht="24.95" customHeight="1" x14ac:dyDescent="0.15">
      <c r="A85" s="239">
        <f>小2【S4】!$A$7</f>
        <v>4</v>
      </c>
      <c r="B85" s="240" t="str">
        <f>小2【S4】!$B$7</f>
        <v>体　育</v>
      </c>
      <c r="C85" s="241" t="str">
        <f>小2【S4】!$C$7</f>
        <v>学習用具・教科用語</v>
      </c>
      <c r="D85" s="241" t="str">
        <f>小2【S4】!$D$7</f>
        <v>ス</v>
      </c>
      <c r="E85" s="240" t="str">
        <f>小2【S4】!$E$7</f>
        <v>日本語</v>
      </c>
      <c r="F85" s="241" t="str">
        <f>小2【S4】!$F$7</f>
        <v>日本の文化</v>
      </c>
      <c r="G85" s="241" t="str">
        <f>小2【S4】!$G$7</f>
        <v>ス</v>
      </c>
      <c r="H85" s="240" t="str">
        <f>小2【S4】!$H$7</f>
        <v>音　楽</v>
      </c>
      <c r="I85" s="241" t="str">
        <f>小2【S4】!$I$7</f>
        <v>学習用具・教科用語</v>
      </c>
      <c r="J85" s="241" t="str">
        <f>小2【S4】!$J$7</f>
        <v>ス</v>
      </c>
      <c r="K85" s="240" t="str">
        <f>小2【S4】!$K$7</f>
        <v>日本語</v>
      </c>
      <c r="L85" s="241" t="str">
        <f>小2【S4】!$L$7</f>
        <v>日本語能力試験</v>
      </c>
      <c r="M85" s="241" t="str">
        <f>小2【S4】!$M$7</f>
        <v>ス</v>
      </c>
      <c r="N85" s="245"/>
    </row>
    <row r="86" spans="1:20" ht="24.95" customHeight="1" x14ac:dyDescent="0.15">
      <c r="A86" s="242"/>
      <c r="B86" s="247"/>
      <c r="C86" s="248"/>
      <c r="D86" s="248"/>
      <c r="E86" s="247"/>
      <c r="F86" s="248"/>
      <c r="G86" s="248"/>
      <c r="H86" s="253"/>
      <c r="I86" s="254"/>
      <c r="J86" s="254"/>
      <c r="K86" s="253"/>
      <c r="L86" s="254"/>
      <c r="M86" s="254"/>
      <c r="N86" s="229"/>
      <c r="O86" s="208"/>
      <c r="P86" s="208"/>
      <c r="Q86" s="229"/>
      <c r="R86" s="208"/>
      <c r="S86" s="208"/>
    </row>
    <row r="87" spans="1:20" ht="24.95" customHeight="1" x14ac:dyDescent="0.15">
      <c r="A87" s="256"/>
      <c r="B87" s="249"/>
      <c r="C87" s="251"/>
      <c r="D87" s="251"/>
      <c r="E87" s="249"/>
      <c r="F87" s="251"/>
      <c r="G87" s="251"/>
      <c r="H87" s="229"/>
      <c r="I87" s="208"/>
      <c r="J87" s="208"/>
      <c r="K87" s="229"/>
      <c r="L87" s="208"/>
      <c r="M87" s="208"/>
      <c r="N87" s="229"/>
      <c r="O87" s="208"/>
      <c r="P87" s="208"/>
      <c r="Q87" s="229"/>
      <c r="R87" s="208"/>
      <c r="S87" s="208"/>
    </row>
    <row r="88" spans="1:20" ht="24.95" customHeight="1" x14ac:dyDescent="0.15">
      <c r="A88" s="228"/>
      <c r="B88" s="230"/>
      <c r="C88" s="270" t="str">
        <f>小3【S2】!$C$2</f>
        <v>小3　3月　【S2】　指導ユニット　モジュール（現学年・ステップ）配当計画</v>
      </c>
      <c r="D88" s="271"/>
      <c r="E88" s="271"/>
      <c r="F88" s="271"/>
      <c r="G88" s="272"/>
      <c r="H88" s="272"/>
      <c r="I88" s="272"/>
      <c r="J88" s="272"/>
      <c r="K88" s="272"/>
      <c r="L88" s="272"/>
      <c r="M88" s="273"/>
      <c r="N88" s="272"/>
      <c r="O88" s="208"/>
      <c r="P88" s="233"/>
      <c r="Q88" s="229"/>
      <c r="R88" s="208"/>
      <c r="S88" s="208"/>
    </row>
    <row r="89" spans="1:20" ht="24.95" customHeight="1" x14ac:dyDescent="0.15">
      <c r="A89" s="234" t="s">
        <v>191</v>
      </c>
      <c r="B89" s="274" t="s">
        <v>192</v>
      </c>
      <c r="C89" s="275"/>
      <c r="D89" s="276"/>
      <c r="E89" s="274" t="s">
        <v>193</v>
      </c>
      <c r="F89" s="275"/>
      <c r="G89" s="276"/>
      <c r="H89" s="274" t="s">
        <v>194</v>
      </c>
      <c r="I89" s="275"/>
      <c r="J89" s="276"/>
      <c r="K89" s="274" t="s">
        <v>195</v>
      </c>
      <c r="L89" s="275"/>
      <c r="M89" s="276"/>
      <c r="N89" s="274" t="s">
        <v>196</v>
      </c>
      <c r="O89" s="275"/>
      <c r="P89" s="276"/>
      <c r="Q89" s="274" t="s">
        <v>197</v>
      </c>
      <c r="R89" s="275"/>
      <c r="S89" s="276"/>
      <c r="T89" s="235"/>
    </row>
    <row r="90" spans="1:20" ht="24.95" customHeight="1" x14ac:dyDescent="0.15">
      <c r="A90" s="236">
        <f>小3【S2】!$A$4</f>
        <v>1</v>
      </c>
      <c r="B90" s="237" t="str">
        <f>小3【S2】!$B$4</f>
        <v>国　語</v>
      </c>
      <c r="C90" s="238" t="str">
        <f>小3【S2】!$C$4</f>
        <v>漢字の広場⑥</v>
      </c>
      <c r="D90" s="238" t="str">
        <f>小3【S2】!$D$4</f>
        <v>現</v>
      </c>
      <c r="E90" s="237" t="str">
        <f>小3【S2】!$E$4</f>
        <v>国　語</v>
      </c>
      <c r="F90" s="238" t="str">
        <f>小3【S2】!$F$4</f>
        <v>漢字の広場⑥</v>
      </c>
      <c r="G90" s="238" t="str">
        <f>小3【S2】!$G$4</f>
        <v>現</v>
      </c>
      <c r="H90" s="237" t="str">
        <f>小3【S2】!$H$4</f>
        <v>国　語</v>
      </c>
      <c r="I90" s="238" t="str">
        <f>小3【S2】!$I$4</f>
        <v>モチモチの木</v>
      </c>
      <c r="J90" s="238" t="str">
        <f>小3【S2】!$J$4</f>
        <v>現</v>
      </c>
      <c r="K90" s="237" t="str">
        <f>小3【S2】!$K$4</f>
        <v>国　語</v>
      </c>
      <c r="L90" s="238" t="str">
        <f>小3【S2】!$L$4</f>
        <v>モチモチの木</v>
      </c>
      <c r="M90" s="238" t="str">
        <f>小3【S2】!$M$4</f>
        <v>現</v>
      </c>
      <c r="N90" s="237" t="str">
        <f>小3【S2】!$N$4</f>
        <v>理　科</v>
      </c>
      <c r="O90" s="238" t="str">
        <f>小3【S2】!$O$4</f>
        <v>じしゃくのふしぎをしらべよう</v>
      </c>
      <c r="P90" s="238" t="str">
        <f>小3【S2】!$P$4</f>
        <v>現</v>
      </c>
      <c r="Q90" s="237" t="str">
        <f>小3【S2】!$B$9</f>
        <v>国　語</v>
      </c>
      <c r="R90" s="238" t="str">
        <f>小3【S2】!$C$9</f>
        <v>わたしの三大ニュース</v>
      </c>
      <c r="S90" s="238" t="str">
        <f>小3【S2】!$D$9</f>
        <v>現</v>
      </c>
      <c r="T90" s="235"/>
    </row>
    <row r="91" spans="1:20" ht="24.95" customHeight="1" x14ac:dyDescent="0.15">
      <c r="A91" s="239">
        <f>小3【S2】!$A$5</f>
        <v>2</v>
      </c>
      <c r="B91" s="240" t="str">
        <f>小3【S2】!$B$5</f>
        <v>算　数</v>
      </c>
      <c r="C91" s="241" t="str">
        <f>小3【S2】!$C$5</f>
        <v>間の数</v>
      </c>
      <c r="D91" s="241" t="str">
        <f>小3【S2】!$D$5</f>
        <v>現</v>
      </c>
      <c r="E91" s="240" t="str">
        <f>小3【S2】!$E$5</f>
        <v>社　会</v>
      </c>
      <c r="F91" s="241" t="str">
        <f>小3【S2】!$F$5</f>
        <v>かわってきた人々のくらし</v>
      </c>
      <c r="G91" s="241" t="str">
        <f>小3【S2】!$G$5</f>
        <v>現</v>
      </c>
      <c r="H91" s="240" t="str">
        <f>小3【S2】!$H$5</f>
        <v>算　数</v>
      </c>
      <c r="I91" s="241" t="str">
        <f>小3【S2】!$I$5</f>
        <v>間の数</v>
      </c>
      <c r="J91" s="241" t="str">
        <f>小3【S2】!$J$5</f>
        <v>現</v>
      </c>
      <c r="K91" s="240" t="str">
        <f>小3【S2】!$K$5</f>
        <v>日本語</v>
      </c>
      <c r="L91" s="241" t="str">
        <f>小3【S2】!$L$5</f>
        <v>日本の文化</v>
      </c>
      <c r="M91" s="241" t="str">
        <f>小3【S2】!$M$5</f>
        <v>ス</v>
      </c>
      <c r="N91" s="240" t="str">
        <f>小3【S2】!$N$5</f>
        <v>日本語</v>
      </c>
      <c r="O91" s="241" t="str">
        <f>小3【S2】!$O$5</f>
        <v>語彙</v>
      </c>
      <c r="P91" s="241" t="str">
        <f>小3【S2】!$P$5</f>
        <v>ス</v>
      </c>
      <c r="Q91" s="240" t="str">
        <f>小3【S2】!$B$10</f>
        <v>国　語</v>
      </c>
      <c r="R91" s="241" t="str">
        <f>小3【S2】!$C$10</f>
        <v>はじめ・中・おわり（小2）</v>
      </c>
      <c r="S91" s="241" t="str">
        <f>小3【S2】!$D$10</f>
        <v>ス</v>
      </c>
      <c r="T91" s="235"/>
    </row>
    <row r="92" spans="1:20" ht="24.95" customHeight="1" x14ac:dyDescent="0.15">
      <c r="A92" s="239">
        <f>小3【S2】!$A$6</f>
        <v>3</v>
      </c>
      <c r="B92" s="240" t="str">
        <f>小3【S2】!$B$6</f>
        <v>社　会</v>
      </c>
      <c r="C92" s="241" t="str">
        <f>小3【S2】!$C$6</f>
        <v>学習用具・教科用語</v>
      </c>
      <c r="D92" s="241" t="str">
        <f>小3【S2】!$D$6</f>
        <v>ス</v>
      </c>
      <c r="E92" s="240" t="str">
        <f>小3【S2】!$E$6</f>
        <v>日本語</v>
      </c>
      <c r="F92" s="241" t="str">
        <f>小3【S2】!$F$6</f>
        <v>学校生活</v>
      </c>
      <c r="G92" s="241" t="str">
        <f>小3【S2】!$G$6</f>
        <v>ス</v>
      </c>
      <c r="H92" s="240" t="str">
        <f>小3【S2】!$H$6</f>
        <v>日本語</v>
      </c>
      <c r="I92" s="241" t="str">
        <f>小3【S2】!$I$6</f>
        <v>日本語能力試験</v>
      </c>
      <c r="J92" s="241" t="str">
        <f>小3【S2】!$J$6</f>
        <v>ス</v>
      </c>
      <c r="K92" s="240" t="str">
        <f>小3【S2】!$K$6</f>
        <v>日本語</v>
      </c>
      <c r="L92" s="241" t="str">
        <f>小3【S2】!$L$6</f>
        <v>家庭生活</v>
      </c>
      <c r="M92" s="241" t="str">
        <f>小3【S2】!$M$6</f>
        <v>ス</v>
      </c>
      <c r="N92" s="240" t="str">
        <f>小3【S2】!$N$6</f>
        <v>国　語</v>
      </c>
      <c r="O92" s="241" t="str">
        <f>小3【S2】!$O$6</f>
        <v>つなぎことば・こそあどことば（小2）</v>
      </c>
      <c r="P92" s="241" t="str">
        <f>小3【S2】!$P$6</f>
        <v>ス</v>
      </c>
      <c r="Q92" s="240" t="str">
        <f>小3【S2】!$B$11</f>
        <v>図　工</v>
      </c>
      <c r="R92" s="241" t="str">
        <f>小3【S2】!$C$11</f>
        <v>学習用具・教科用語</v>
      </c>
      <c r="S92" s="241" t="str">
        <f>小3【S2】!$D$11</f>
        <v>ス</v>
      </c>
      <c r="T92" s="235"/>
    </row>
    <row r="93" spans="1:20" ht="24.95" customHeight="1" x14ac:dyDescent="0.15">
      <c r="A93" s="239">
        <f>小3【S2】!$A$7</f>
        <v>4</v>
      </c>
      <c r="B93" s="240" t="str">
        <f>小3【S2】!$B$7</f>
        <v>算　数</v>
      </c>
      <c r="C93" s="241" t="str">
        <f>小3【S2】!$C$7</f>
        <v>かくれた 数は いくつ（小2）</v>
      </c>
      <c r="D93" s="241" t="str">
        <f>小3【S2】!$D$7</f>
        <v>ス</v>
      </c>
      <c r="E93" s="240" t="str">
        <f>小3【S2】!$E$7</f>
        <v>日本語</v>
      </c>
      <c r="F93" s="241" t="str">
        <f>小3【S2】!$F$7</f>
        <v>語彙</v>
      </c>
      <c r="G93" s="241" t="str">
        <f>小3【S2】!$G$7</f>
        <v>ス</v>
      </c>
      <c r="H93" s="240" t="str">
        <f>小3【S2】!$H$7</f>
        <v>算　数</v>
      </c>
      <c r="I93" s="241" t="str">
        <f>小3【S2】!$I$7</f>
        <v>かくれた 数は いくつ（小2）</v>
      </c>
      <c r="J93" s="241" t="str">
        <f>小3【S2】!$J$7</f>
        <v>ス</v>
      </c>
      <c r="K93" s="240" t="str">
        <f>小3【S2】!$K$7</f>
        <v>算　数</v>
      </c>
      <c r="L93" s="241" t="str">
        <f>小3【S2】!$L$7</f>
        <v>かくれた 数は いくつ（小2）</v>
      </c>
      <c r="M93" s="241" t="str">
        <f>小3【S2】!$M$7</f>
        <v>ス</v>
      </c>
      <c r="N93" s="240" t="str">
        <f>小3【S2】!$N$7</f>
        <v>理　科</v>
      </c>
      <c r="O93" s="241" t="str">
        <f>小3【S2】!$O$7</f>
        <v>学習用具・教科用語</v>
      </c>
      <c r="P93" s="241" t="str">
        <f>小3【S2】!$P$7</f>
        <v>ス</v>
      </c>
      <c r="Q93" s="240" t="str">
        <f>小3【S2】!$B$12</f>
        <v>体　育</v>
      </c>
      <c r="R93" s="241" t="str">
        <f>小3【S2】!$C$12</f>
        <v>学習用具・教科用語</v>
      </c>
      <c r="S93" s="241" t="str">
        <f>小3【S2】!$D$12</f>
        <v>ス</v>
      </c>
      <c r="T93" s="235"/>
    </row>
    <row r="94" spans="1:20" ht="24.95" customHeight="1" x14ac:dyDescent="0.15">
      <c r="A94" s="242"/>
      <c r="B94" s="274" t="s">
        <v>198</v>
      </c>
      <c r="C94" s="275"/>
      <c r="D94" s="276"/>
      <c r="E94" s="274" t="s">
        <v>199</v>
      </c>
      <c r="F94" s="275"/>
      <c r="G94" s="276"/>
      <c r="H94" s="243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</row>
    <row r="95" spans="1:20" ht="24.95" customHeight="1" x14ac:dyDescent="0.15">
      <c r="A95" s="236">
        <f>小3【S2】!$A$4</f>
        <v>1</v>
      </c>
      <c r="B95" s="237" t="str">
        <f>小3【S2】!$E$9</f>
        <v>国　語</v>
      </c>
      <c r="C95" s="238" t="str">
        <f>小3【S2】!$F$9</f>
        <v>わたしの三大ニュース</v>
      </c>
      <c r="D95" s="238" t="str">
        <f>小3【S2】!$G$9</f>
        <v>現</v>
      </c>
      <c r="E95" s="237" t="str">
        <f>小3【S2】!$H$9</f>
        <v>国　語</v>
      </c>
      <c r="F95" s="238" t="str">
        <f>小3【S2】!$I$9</f>
        <v>「　」と『　』のちがい</v>
      </c>
      <c r="G95" s="238" t="str">
        <f>小3【S2】!$J$9</f>
        <v>現</v>
      </c>
      <c r="H95" s="245"/>
    </row>
    <row r="96" spans="1:20" ht="24.95" customHeight="1" x14ac:dyDescent="0.15">
      <c r="A96" s="239">
        <f>小3【S2】!$A$5</f>
        <v>2</v>
      </c>
      <c r="B96" s="240" t="str">
        <f>小3【S2】!$E$10</f>
        <v>算　数</v>
      </c>
      <c r="C96" s="241" t="str">
        <f>小3【S2】!$F$10</f>
        <v>□をつかった式</v>
      </c>
      <c r="D96" s="241" t="str">
        <f>小3【S2】!$G$10</f>
        <v>現</v>
      </c>
      <c r="E96" s="240" t="str">
        <f>小3【S2】!$H$10</f>
        <v>音　楽</v>
      </c>
      <c r="F96" s="241" t="str">
        <f>小3【S2】!$I$10</f>
        <v>学習用具・教科用語</v>
      </c>
      <c r="G96" s="241" t="str">
        <f>小3【S2】!$J$10</f>
        <v>現</v>
      </c>
      <c r="H96" s="245"/>
    </row>
    <row r="97" spans="1:20" ht="24.95" customHeight="1" x14ac:dyDescent="0.15">
      <c r="A97" s="239">
        <f>小3【S2】!$A$6</f>
        <v>3</v>
      </c>
      <c r="B97" s="240" t="str">
        <f>小3【S2】!$E$11</f>
        <v>社　会</v>
      </c>
      <c r="C97" s="241" t="str">
        <f>小3【S2】!$F$11</f>
        <v>学習用具・教科用語</v>
      </c>
      <c r="D97" s="241" t="str">
        <f>小3【S2】!$G$11</f>
        <v>ス</v>
      </c>
      <c r="E97" s="240" t="str">
        <f>小3【S2】!$H$11</f>
        <v>国　語</v>
      </c>
      <c r="F97" s="241" t="str">
        <f>小3【S2】!$I$11</f>
        <v>「丸、点、かぎ」（小2）</v>
      </c>
      <c r="G97" s="241" t="str">
        <f>小3【S2】!$J$11</f>
        <v>ス</v>
      </c>
      <c r="H97" s="245"/>
    </row>
    <row r="98" spans="1:20" ht="24.95" customHeight="1" x14ac:dyDescent="0.15">
      <c r="A98" s="239">
        <f>小3【S2】!$A$7</f>
        <v>4</v>
      </c>
      <c r="B98" s="240" t="str">
        <f>小3【S2】!$E$12</f>
        <v>算　数</v>
      </c>
      <c r="C98" s="241" t="str">
        <f>小3【S2】!$F$12</f>
        <v>どんな計算になるかな(1)（小2）</v>
      </c>
      <c r="D98" s="241" t="str">
        <f>小3【S2】!$G$12</f>
        <v>ス</v>
      </c>
      <c r="E98" s="240" t="str">
        <f>小3【S2】!$H$12</f>
        <v>算　数</v>
      </c>
      <c r="F98" s="241" t="str">
        <f>小3【S2】!$I$12</f>
        <v>どんな計算になるかな(1)（小2）</v>
      </c>
      <c r="G98" s="241" t="str">
        <f>小3【S2】!$J$12</f>
        <v>ス</v>
      </c>
      <c r="H98" s="245"/>
    </row>
    <row r="99" spans="1:20" ht="24.95" customHeight="1" x14ac:dyDescent="0.15">
      <c r="A99" s="242"/>
      <c r="B99" s="247"/>
      <c r="C99" s="248"/>
      <c r="D99" s="248"/>
      <c r="E99" s="247"/>
      <c r="F99" s="248"/>
      <c r="G99" s="248"/>
      <c r="H99" s="249"/>
      <c r="I99" s="250"/>
      <c r="J99" s="250"/>
      <c r="K99" s="249"/>
      <c r="L99" s="251"/>
      <c r="M99" s="251"/>
      <c r="N99" s="249"/>
      <c r="O99" s="251"/>
      <c r="P99" s="251"/>
      <c r="Q99" s="229"/>
      <c r="R99" s="208"/>
      <c r="S99" s="208"/>
    </row>
    <row r="100" spans="1:20" ht="24.95" customHeight="1" x14ac:dyDescent="0.15">
      <c r="A100" s="228"/>
      <c r="B100" s="229"/>
      <c r="C100" s="270" t="str">
        <f>小3【S3】!$C$2</f>
        <v>小3　3月　【S3】　指導ユニット　モジュール（現学年・ステップ）配当計画</v>
      </c>
      <c r="D100" s="271"/>
      <c r="E100" s="271"/>
      <c r="F100" s="271"/>
      <c r="G100" s="272"/>
      <c r="H100" s="272"/>
      <c r="I100" s="272"/>
      <c r="J100" s="272"/>
      <c r="K100" s="272"/>
      <c r="L100" s="272"/>
      <c r="M100" s="273"/>
      <c r="N100" s="272"/>
      <c r="O100" s="208"/>
      <c r="P100" s="208"/>
      <c r="Q100" s="229"/>
      <c r="R100" s="208"/>
      <c r="S100" s="208"/>
    </row>
    <row r="101" spans="1:20" ht="24.95" customHeight="1" x14ac:dyDescent="0.15">
      <c r="A101" s="234" t="s">
        <v>191</v>
      </c>
      <c r="B101" s="274" t="s">
        <v>192</v>
      </c>
      <c r="C101" s="275"/>
      <c r="D101" s="276"/>
      <c r="E101" s="274" t="s">
        <v>193</v>
      </c>
      <c r="F101" s="275"/>
      <c r="G101" s="276"/>
      <c r="H101" s="274" t="s">
        <v>194</v>
      </c>
      <c r="I101" s="275"/>
      <c r="J101" s="276"/>
      <c r="K101" s="274" t="s">
        <v>195</v>
      </c>
      <c r="L101" s="275"/>
      <c r="M101" s="276"/>
      <c r="N101" s="274" t="s">
        <v>196</v>
      </c>
      <c r="O101" s="275"/>
      <c r="P101" s="276"/>
      <c r="Q101" s="274" t="s">
        <v>197</v>
      </c>
      <c r="R101" s="275"/>
      <c r="S101" s="276"/>
      <c r="T101" s="235"/>
    </row>
    <row r="102" spans="1:20" ht="24.95" customHeight="1" x14ac:dyDescent="0.15">
      <c r="A102" s="236">
        <f>小3【S3】!$A$4</f>
        <v>1</v>
      </c>
      <c r="B102" s="237" t="str">
        <f>小3【S3】!$B$4</f>
        <v>国　語</v>
      </c>
      <c r="C102" s="238" t="str">
        <f>小3【S3】!$C$4</f>
        <v>漢字の広場⑥</v>
      </c>
      <c r="D102" s="238" t="str">
        <f>小3【S3】!$D$4</f>
        <v>現</v>
      </c>
      <c r="E102" s="237" t="str">
        <f>小3【S3】!$E$4</f>
        <v>国　語</v>
      </c>
      <c r="F102" s="238" t="str">
        <f>小3【S3】!$F$4</f>
        <v>漢字の広場⑥</v>
      </c>
      <c r="G102" s="238" t="str">
        <f>小3【S3】!$G$4</f>
        <v>現</v>
      </c>
      <c r="H102" s="237" t="str">
        <f>小3【S3】!$H$4</f>
        <v>国　語</v>
      </c>
      <c r="I102" s="238" t="str">
        <f>小3【S3】!$I$4</f>
        <v>モチモチの木</v>
      </c>
      <c r="J102" s="238" t="str">
        <f>小3【S3】!$J$4</f>
        <v>現</v>
      </c>
      <c r="K102" s="237" t="str">
        <f>小3【S3】!$K$4</f>
        <v>国　語</v>
      </c>
      <c r="L102" s="238" t="str">
        <f>小3【S3】!$L$4</f>
        <v>わたしの三大ニュース</v>
      </c>
      <c r="M102" s="238" t="str">
        <f>小3【S3】!$M$4</f>
        <v>現</v>
      </c>
      <c r="N102" s="237" t="str">
        <f>小3【S3】!$N$4</f>
        <v>国　語</v>
      </c>
      <c r="O102" s="238" t="str">
        <f>小3【S3】!$O$4</f>
        <v>わたしの三大ニュース</v>
      </c>
      <c r="P102" s="238" t="str">
        <f>小3【S3】!$P$4</f>
        <v>現</v>
      </c>
      <c r="Q102" s="237" t="str">
        <f>小3【S3】!$B$9</f>
        <v>国　語</v>
      </c>
      <c r="R102" s="238" t="str">
        <f>小3【S3】!$C$9</f>
        <v>「　」と『　』のちがい</v>
      </c>
      <c r="S102" s="238" t="str">
        <f>小3【S3】!$D$9</f>
        <v>現</v>
      </c>
      <c r="T102" s="235"/>
    </row>
    <row r="103" spans="1:20" ht="24.95" customHeight="1" x14ac:dyDescent="0.15">
      <c r="A103" s="239">
        <f>小3【S3】!$A$5</f>
        <v>2</v>
      </c>
      <c r="B103" s="240" t="str">
        <f>小3【S3】!$B$5</f>
        <v>算　数</v>
      </c>
      <c r="C103" s="241" t="str">
        <f>小3【S3】!$C$5</f>
        <v>間の数</v>
      </c>
      <c r="D103" s="241" t="str">
        <f>小3【S3】!$D$5</f>
        <v>現</v>
      </c>
      <c r="E103" s="240" t="str">
        <f>小3【S3】!$E$5</f>
        <v>国　語</v>
      </c>
      <c r="F103" s="241" t="str">
        <f>小3【S3】!$F$5</f>
        <v>モチモチの木</v>
      </c>
      <c r="G103" s="241" t="str">
        <f>小3【S3】!$G$5</f>
        <v>現</v>
      </c>
      <c r="H103" s="240" t="str">
        <f>小3【S3】!$H$5</f>
        <v>算　数</v>
      </c>
      <c r="I103" s="241" t="str">
        <f>小3【S3】!$I$5</f>
        <v>□をつかった式</v>
      </c>
      <c r="J103" s="241" t="str">
        <f>小3【S3】!$J$5</f>
        <v>現</v>
      </c>
      <c r="K103" s="240" t="str">
        <f>小3【S3】!$K$5</f>
        <v>算　数</v>
      </c>
      <c r="L103" s="241" t="str">
        <f>小3【S3】!$L$5</f>
        <v>もうすぐ4年生</v>
      </c>
      <c r="M103" s="241" t="str">
        <f>小3【S3】!$M$5</f>
        <v>現</v>
      </c>
      <c r="N103" s="240" t="str">
        <f>小3【S3】!$N$5</f>
        <v>社　会</v>
      </c>
      <c r="O103" s="241" t="str">
        <f>小3【S3】!$O$5</f>
        <v>かわってきた人々のくらし</v>
      </c>
      <c r="P103" s="241" t="str">
        <f>小3【S3】!$P$5</f>
        <v>現</v>
      </c>
      <c r="Q103" s="240" t="str">
        <f>小3【S3】!$B$10</f>
        <v>図　工</v>
      </c>
      <c r="R103" s="241" t="str">
        <f>小3【S3】!$C$10</f>
        <v>学習用具・教科用語</v>
      </c>
      <c r="S103" s="241" t="str">
        <f>小3【S3】!$D$10</f>
        <v>現</v>
      </c>
      <c r="T103" s="235"/>
    </row>
    <row r="104" spans="1:20" ht="24.95" customHeight="1" x14ac:dyDescent="0.15">
      <c r="A104" s="239">
        <f>小3【S3】!$A$6</f>
        <v>3</v>
      </c>
      <c r="B104" s="240" t="str">
        <f>小3【S3】!$B$6</f>
        <v>社　会</v>
      </c>
      <c r="C104" s="241" t="str">
        <f>小3【S3】!$C$6</f>
        <v>学習用具・教科用語</v>
      </c>
      <c r="D104" s="241" t="str">
        <f>小3【S3】!$D$6</f>
        <v>ス</v>
      </c>
      <c r="E104" s="240" t="str">
        <f>小3【S3】!$E$6</f>
        <v>算　数</v>
      </c>
      <c r="F104" s="241" t="str">
        <f>小3【S3】!$F$6</f>
        <v>間の数</v>
      </c>
      <c r="G104" s="241" t="str">
        <f>小3【S3】!$G$6</f>
        <v>現</v>
      </c>
      <c r="H104" s="240" t="str">
        <f>小3【S3】!$H$6</f>
        <v>理　科</v>
      </c>
      <c r="I104" s="241" t="str">
        <f>小3【S3】!$I$6</f>
        <v>じしゃくのふしぎをしらべよう</v>
      </c>
      <c r="J104" s="241" t="str">
        <f>小3【S3】!$J$6</f>
        <v>現</v>
      </c>
      <c r="K104" s="240" t="str">
        <f>小3【S3】!$K$6</f>
        <v>日本語</v>
      </c>
      <c r="L104" s="241" t="str">
        <f>小3【S3】!$L$6</f>
        <v>日本の文化</v>
      </c>
      <c r="M104" s="241" t="str">
        <f>小3【S3】!$M$6</f>
        <v>ス</v>
      </c>
      <c r="N104" s="240" t="str">
        <f>小3【S3】!$N$6</f>
        <v>日本語</v>
      </c>
      <c r="O104" s="241" t="str">
        <f>小3【S3】!$O$6</f>
        <v>語彙</v>
      </c>
      <c r="P104" s="241" t="str">
        <f>小3【S3】!$P$6</f>
        <v>ス</v>
      </c>
      <c r="Q104" s="240" t="str">
        <f>小3【S3】!$B$11</f>
        <v>国　語</v>
      </c>
      <c r="R104" s="241" t="str">
        <f>小3【S3】!$C$11</f>
        <v>「丸、点、かぎ」（小2）</v>
      </c>
      <c r="S104" s="241" t="str">
        <f>小3【S3】!$D$11</f>
        <v>ス</v>
      </c>
      <c r="T104" s="235"/>
    </row>
    <row r="105" spans="1:20" ht="24.95" customHeight="1" x14ac:dyDescent="0.15">
      <c r="A105" s="239">
        <f>小3【S3】!$A$7</f>
        <v>4</v>
      </c>
      <c r="B105" s="240" t="str">
        <f>小3【S3】!$B$7</f>
        <v>理　科</v>
      </c>
      <c r="C105" s="241" t="str">
        <f>小3【S3】!$C$7</f>
        <v>学習用具・教科用語</v>
      </c>
      <c r="D105" s="241" t="str">
        <f>小3【S3】!$D$7</f>
        <v>ス</v>
      </c>
      <c r="E105" s="240" t="str">
        <f>小3【S3】!$E$7</f>
        <v>日本語</v>
      </c>
      <c r="F105" s="241" t="str">
        <f>小3【S3】!$F$7</f>
        <v>日本語能力試験</v>
      </c>
      <c r="G105" s="241" t="str">
        <f>小3【S3】!$G$7</f>
        <v>ス</v>
      </c>
      <c r="H105" s="240" t="str">
        <f>小3【S3】!$H$7</f>
        <v>算　数</v>
      </c>
      <c r="I105" s="241" t="str">
        <f>小3【S3】!$I$7</f>
        <v>かくれた 数は いくつ（小2）</v>
      </c>
      <c r="J105" s="241" t="str">
        <f>小3【S3】!$J$7</f>
        <v>ス</v>
      </c>
      <c r="K105" s="240" t="str">
        <f>小3【S3】!$K$7</f>
        <v>日本語</v>
      </c>
      <c r="L105" s="241" t="str">
        <f>小3【S3】!$L$7</f>
        <v>語彙</v>
      </c>
      <c r="M105" s="241" t="str">
        <f>小3【S3】!$M$7</f>
        <v>ス</v>
      </c>
      <c r="N105" s="240" t="str">
        <f>小3【S3】!$N$7</f>
        <v>算　数</v>
      </c>
      <c r="O105" s="241" t="str">
        <f>小3【S3】!$O$7</f>
        <v>どんな計算になるかな(1)（小2）</v>
      </c>
      <c r="P105" s="241" t="str">
        <f>小3【S3】!$P$7</f>
        <v>ス</v>
      </c>
      <c r="Q105" s="240" t="str">
        <f>小3【S3】!$B$12</f>
        <v>音　楽</v>
      </c>
      <c r="R105" s="241" t="str">
        <f>小3【S3】!$C$12</f>
        <v>学習用具・教科用語</v>
      </c>
      <c r="S105" s="241" t="str">
        <f>小3【S3】!$D$12</f>
        <v>ス</v>
      </c>
      <c r="T105" s="235"/>
    </row>
    <row r="106" spans="1:20" ht="24.95" customHeight="1" x14ac:dyDescent="0.15">
      <c r="A106" s="252"/>
      <c r="B106" s="253"/>
      <c r="C106" s="254"/>
      <c r="D106" s="254"/>
      <c r="E106" s="253"/>
      <c r="F106" s="254"/>
      <c r="G106" s="254"/>
      <c r="H106" s="253"/>
      <c r="I106" s="255"/>
      <c r="J106" s="255"/>
      <c r="K106" s="253"/>
      <c r="L106" s="254"/>
      <c r="M106" s="254"/>
      <c r="N106" s="253"/>
      <c r="O106" s="254"/>
      <c r="P106" s="254"/>
      <c r="Q106" s="253"/>
      <c r="R106" s="254"/>
      <c r="S106" s="254"/>
    </row>
    <row r="107" spans="1:20" ht="24.95" customHeight="1" x14ac:dyDescent="0.15">
      <c r="A107" s="228"/>
      <c r="B107" s="229"/>
      <c r="C107" s="270" t="str">
        <f>小3【S4】!$C$2</f>
        <v>小3　3月　【S4】　指導ユニット　モジュール（現学年・ステップ）配当計画</v>
      </c>
      <c r="D107" s="271"/>
      <c r="E107" s="271"/>
      <c r="F107" s="271"/>
      <c r="G107" s="272"/>
      <c r="H107" s="272"/>
      <c r="I107" s="272"/>
      <c r="J107" s="272"/>
      <c r="K107" s="272"/>
      <c r="L107" s="272"/>
      <c r="M107" s="273"/>
      <c r="N107" s="272"/>
      <c r="O107" s="208"/>
      <c r="P107" s="208"/>
      <c r="Q107" s="229"/>
      <c r="R107" s="208"/>
      <c r="S107" s="208"/>
    </row>
    <row r="108" spans="1:20" ht="24.95" customHeight="1" x14ac:dyDescent="0.15">
      <c r="A108" s="234" t="s">
        <v>191</v>
      </c>
      <c r="B108" s="274" t="s">
        <v>192</v>
      </c>
      <c r="C108" s="275"/>
      <c r="D108" s="276"/>
      <c r="E108" s="274" t="s">
        <v>193</v>
      </c>
      <c r="F108" s="275"/>
      <c r="G108" s="276"/>
      <c r="H108" s="274" t="s">
        <v>194</v>
      </c>
      <c r="I108" s="275"/>
      <c r="J108" s="276"/>
      <c r="K108" s="274" t="s">
        <v>195</v>
      </c>
      <c r="L108" s="275"/>
      <c r="M108" s="276"/>
      <c r="N108" s="245"/>
    </row>
    <row r="109" spans="1:20" ht="24.95" customHeight="1" x14ac:dyDescent="0.15">
      <c r="A109" s="236">
        <f>小3【S4】!$A$4</f>
        <v>1</v>
      </c>
      <c r="B109" s="237" t="str">
        <f>小3【S4】!$B$4</f>
        <v>国　語</v>
      </c>
      <c r="C109" s="238" t="str">
        <f>小3【S4】!$C$4</f>
        <v>漢字の広場⑥</v>
      </c>
      <c r="D109" s="238" t="str">
        <f>小3【S4】!$D$4</f>
        <v>現</v>
      </c>
      <c r="E109" s="237" t="str">
        <f>小3【S4】!$E$4</f>
        <v>国　語</v>
      </c>
      <c r="F109" s="238" t="str">
        <f>小3【S4】!$F$4</f>
        <v>モチモチの木</v>
      </c>
      <c r="G109" s="238" t="str">
        <f>小3【S4】!$G$4</f>
        <v>現</v>
      </c>
      <c r="H109" s="237" t="str">
        <f>小3【S4】!$H$4</f>
        <v>国　語</v>
      </c>
      <c r="I109" s="238" t="str">
        <f>小3【S4】!$I$4</f>
        <v>モチモチの木</v>
      </c>
      <c r="J109" s="238" t="str">
        <f>小3【S4】!$J$4</f>
        <v>現</v>
      </c>
      <c r="K109" s="237" t="str">
        <f>小3【S4】!$K$4</f>
        <v>国　語</v>
      </c>
      <c r="L109" s="238" t="str">
        <f>小3【S4】!$L$4</f>
        <v>わたしの三大ニュース</v>
      </c>
      <c r="M109" s="238" t="str">
        <f>小3【S4】!$M$4</f>
        <v>現</v>
      </c>
      <c r="N109" s="245"/>
    </row>
    <row r="110" spans="1:20" ht="24.95" customHeight="1" x14ac:dyDescent="0.15">
      <c r="A110" s="239">
        <f>小3【S4】!$A$5</f>
        <v>2</v>
      </c>
      <c r="B110" s="240" t="str">
        <f>小3【S4】!$B$5</f>
        <v>社　会</v>
      </c>
      <c r="C110" s="241" t="str">
        <f>小3【S4】!$C$5</f>
        <v>かわってきた人々のくらし</v>
      </c>
      <c r="D110" s="241" t="str">
        <f>小3【S4】!$D$5</f>
        <v>現</v>
      </c>
      <c r="E110" s="240" t="str">
        <f>小3【S4】!$E$5</f>
        <v>算　数</v>
      </c>
      <c r="F110" s="241" t="str">
        <f>小3【S4】!$F$5</f>
        <v>□をつかった式</v>
      </c>
      <c r="G110" s="241" t="str">
        <f>小3【S4】!$G$5</f>
        <v>現</v>
      </c>
      <c r="H110" s="240" t="str">
        <f>小3【S4】!$H$5</f>
        <v>算　数</v>
      </c>
      <c r="I110" s="241" t="str">
        <f>小3【S4】!$I$5</f>
        <v>もうすぐ4年生</v>
      </c>
      <c r="J110" s="241" t="str">
        <f>小3【S4】!$J$5</f>
        <v>現</v>
      </c>
      <c r="K110" s="240" t="str">
        <f>小3【S4】!$K$5</f>
        <v>国　語</v>
      </c>
      <c r="L110" s="241" t="str">
        <f>小3【S4】!$L$5</f>
        <v>「　」と『　』のちがい</v>
      </c>
      <c r="M110" s="241" t="str">
        <f>小3【S4】!$M$5</f>
        <v>現</v>
      </c>
      <c r="N110" s="245"/>
    </row>
    <row r="111" spans="1:20" ht="24.95" customHeight="1" x14ac:dyDescent="0.15">
      <c r="A111" s="239">
        <f>小3【S4】!$A$6</f>
        <v>3</v>
      </c>
      <c r="B111" s="240" t="str">
        <f>小3【S4】!$B$6</f>
        <v>算　数</v>
      </c>
      <c r="C111" s="241" t="str">
        <f>小3【S4】!$C$6</f>
        <v>間の数</v>
      </c>
      <c r="D111" s="241" t="str">
        <f>小3【S4】!$D$6</f>
        <v>現</v>
      </c>
      <c r="E111" s="240" t="str">
        <f>小3【S4】!$E$6</f>
        <v>社　会</v>
      </c>
      <c r="F111" s="241" t="str">
        <f>小3【S4】!$F$6</f>
        <v>かわってきた人々のくらし</v>
      </c>
      <c r="G111" s="241" t="str">
        <f>小3【S4】!$G$6</f>
        <v>現</v>
      </c>
      <c r="H111" s="240" t="str">
        <f>小3【S4】!$H$6</f>
        <v>理　科</v>
      </c>
      <c r="I111" s="241" t="str">
        <f>小3【S4】!$I$6</f>
        <v>じしゃくのふしぎをしらべよう</v>
      </c>
      <c r="J111" s="241" t="str">
        <f>小3【S4】!$J$6</f>
        <v>現</v>
      </c>
      <c r="K111" s="240" t="str">
        <f>小3【S4】!$K$6</f>
        <v>理　科</v>
      </c>
      <c r="L111" s="241" t="str">
        <f>小3【S4】!$L$6</f>
        <v>じしゃくのふしぎをしらべよう</v>
      </c>
      <c r="M111" s="241" t="str">
        <f>小3【S4】!$M$6</f>
        <v>現</v>
      </c>
      <c r="N111" s="245"/>
    </row>
    <row r="112" spans="1:20" ht="24.95" customHeight="1" x14ac:dyDescent="0.15">
      <c r="A112" s="239">
        <f>小3【S4】!$A$7</f>
        <v>4</v>
      </c>
      <c r="B112" s="240" t="str">
        <f>小3【S4】!$B$7</f>
        <v>日本語</v>
      </c>
      <c r="C112" s="241" t="str">
        <f>小3【S4】!$C$7</f>
        <v>語彙</v>
      </c>
      <c r="D112" s="241" t="str">
        <f>小3【S4】!$D$7</f>
        <v>ス</v>
      </c>
      <c r="E112" s="240" t="str">
        <f>小3【S4】!$E$7</f>
        <v>社　会</v>
      </c>
      <c r="F112" s="241" t="str">
        <f>小3【S4】!$F$7</f>
        <v>学習用具・教科用語</v>
      </c>
      <c r="G112" s="241" t="str">
        <f>小3【S4】!$G$7</f>
        <v>ス</v>
      </c>
      <c r="H112" s="240" t="str">
        <f>小3【S4】!$H$7</f>
        <v>算　数</v>
      </c>
      <c r="I112" s="241" t="str">
        <f>小3【S4】!$I$7</f>
        <v>かくれた 数は いくつ（小2）</v>
      </c>
      <c r="J112" s="241" t="str">
        <f>小3【S4】!$J$7</f>
        <v>ス</v>
      </c>
      <c r="K112" s="240" t="str">
        <f>小3【S4】!$K$7</f>
        <v>日本語</v>
      </c>
      <c r="L112" s="241" t="str">
        <f>小3【S4】!$L$7</f>
        <v>日本語能力試験</v>
      </c>
      <c r="M112" s="241" t="str">
        <f>小3【S4】!$M$7</f>
        <v>ス</v>
      </c>
      <c r="N112" s="245"/>
    </row>
    <row r="113" spans="1:20" ht="24.95" customHeight="1" x14ac:dyDescent="0.15">
      <c r="A113" s="242"/>
      <c r="B113" s="247"/>
      <c r="C113" s="248"/>
      <c r="D113" s="248"/>
      <c r="E113" s="247"/>
      <c r="F113" s="248"/>
      <c r="G113" s="248"/>
      <c r="H113" s="253"/>
      <c r="I113" s="254"/>
      <c r="J113" s="254"/>
      <c r="K113" s="253"/>
      <c r="L113" s="254"/>
      <c r="M113" s="254"/>
      <c r="N113" s="229"/>
      <c r="O113" s="208"/>
      <c r="P113" s="208"/>
      <c r="Q113" s="229"/>
      <c r="R113" s="208"/>
      <c r="S113" s="208"/>
    </row>
    <row r="114" spans="1:20" ht="24.95" customHeight="1" x14ac:dyDescent="0.15">
      <c r="A114" s="256"/>
      <c r="B114" s="249"/>
      <c r="C114" s="251"/>
      <c r="D114" s="251"/>
      <c r="E114" s="249"/>
      <c r="F114" s="251"/>
      <c r="G114" s="251"/>
      <c r="H114" s="229"/>
      <c r="I114" s="208"/>
      <c r="J114" s="208"/>
      <c r="K114" s="229"/>
      <c r="L114" s="208"/>
      <c r="M114" s="208"/>
      <c r="N114" s="229"/>
      <c r="O114" s="208"/>
      <c r="P114" s="208"/>
      <c r="Q114" s="229"/>
      <c r="R114" s="208"/>
      <c r="S114" s="208"/>
    </row>
    <row r="115" spans="1:20" ht="24.95" customHeight="1" x14ac:dyDescent="0.15">
      <c r="A115" s="228"/>
      <c r="B115" s="230"/>
      <c r="C115" s="270" t="str">
        <f>小4【S2】!$C$2</f>
        <v>小4　3月　【S2】　指導ユニット　モジュール（現学年・ステップ）配当計画</v>
      </c>
      <c r="D115" s="271"/>
      <c r="E115" s="271"/>
      <c r="F115" s="271"/>
      <c r="G115" s="272"/>
      <c r="H115" s="272"/>
      <c r="I115" s="272"/>
      <c r="J115" s="272"/>
      <c r="K115" s="272"/>
      <c r="L115" s="272"/>
      <c r="M115" s="273"/>
      <c r="N115" s="272"/>
      <c r="O115" s="208"/>
      <c r="P115" s="233"/>
      <c r="Q115" s="229"/>
      <c r="R115" s="208"/>
      <c r="S115" s="208"/>
    </row>
    <row r="116" spans="1:20" ht="24.95" customHeight="1" x14ac:dyDescent="0.15">
      <c r="A116" s="234" t="s">
        <v>191</v>
      </c>
      <c r="B116" s="274" t="s">
        <v>192</v>
      </c>
      <c r="C116" s="275"/>
      <c r="D116" s="276"/>
      <c r="E116" s="274" t="s">
        <v>193</v>
      </c>
      <c r="F116" s="275"/>
      <c r="G116" s="276"/>
      <c r="H116" s="274" t="s">
        <v>194</v>
      </c>
      <c r="I116" s="275"/>
      <c r="J116" s="276"/>
      <c r="K116" s="274" t="s">
        <v>195</v>
      </c>
      <c r="L116" s="275"/>
      <c r="M116" s="276"/>
      <c r="N116" s="274" t="s">
        <v>196</v>
      </c>
      <c r="O116" s="275"/>
      <c r="P116" s="276"/>
      <c r="Q116" s="274" t="s">
        <v>197</v>
      </c>
      <c r="R116" s="275"/>
      <c r="S116" s="276"/>
      <c r="T116" s="235"/>
    </row>
    <row r="117" spans="1:20" ht="24.95" customHeight="1" x14ac:dyDescent="0.15">
      <c r="A117" s="236">
        <f>小4【S2】!$A$4</f>
        <v>1</v>
      </c>
      <c r="B117" s="237" t="str">
        <f>小4【S2】!$B$4</f>
        <v>国　語</v>
      </c>
      <c r="C117" s="238" t="str">
        <f>小4【S2】!$C$4</f>
        <v>まちがえやすい漢字</v>
      </c>
      <c r="D117" s="238" t="str">
        <f>小4【S2】!$D$4</f>
        <v>現</v>
      </c>
      <c r="E117" s="237" t="str">
        <f>小4【S2】!$E$4</f>
        <v>国　語</v>
      </c>
      <c r="F117" s="238" t="str">
        <f>小4【S2】!$F$4</f>
        <v>初雪のふる日</v>
      </c>
      <c r="G117" s="238" t="str">
        <f>小4【S2】!$G$4</f>
        <v>現</v>
      </c>
      <c r="H117" s="237" t="str">
        <f>小4【S2】!$H$4</f>
        <v>国　語</v>
      </c>
      <c r="I117" s="238" t="str">
        <f>小4【S2】!$I$4</f>
        <v>初雪のふる日</v>
      </c>
      <c r="J117" s="238" t="str">
        <f>小4【S2】!$J$4</f>
        <v>現</v>
      </c>
      <c r="K117" s="237" t="str">
        <f>小4【S2】!$K$4</f>
        <v>国　語</v>
      </c>
      <c r="L117" s="238" t="str">
        <f>小4【S2】!$L$4</f>
        <v>漢字の広場⑥</v>
      </c>
      <c r="M117" s="238" t="str">
        <f>小4【S2】!$M$4</f>
        <v>現</v>
      </c>
      <c r="N117" s="237" t="str">
        <f>小4【S2】!$N$4</f>
        <v>理　科</v>
      </c>
      <c r="O117" s="238" t="str">
        <f>小4【S2】!$O$4</f>
        <v>自然の中の水</v>
      </c>
      <c r="P117" s="238" t="str">
        <f>小4【S2】!$P$4</f>
        <v>現</v>
      </c>
      <c r="Q117" s="237" t="str">
        <f>小4【S2】!$B$9</f>
        <v>国　語</v>
      </c>
      <c r="R117" s="238" t="str">
        <f>小4【S2】!$C$9</f>
        <v>十年後のわたしへ</v>
      </c>
      <c r="S117" s="238" t="str">
        <f>小4【S2】!$D$9</f>
        <v>現</v>
      </c>
      <c r="T117" s="235"/>
    </row>
    <row r="118" spans="1:20" ht="24.95" customHeight="1" x14ac:dyDescent="0.15">
      <c r="A118" s="239">
        <f>小4【S2】!$A$5</f>
        <v>2</v>
      </c>
      <c r="B118" s="240" t="str">
        <f>小4【S2】!$B$5</f>
        <v>算　数</v>
      </c>
      <c r="C118" s="241" t="str">
        <f>小4【S2】!$C$5</f>
        <v>直方体と立方体</v>
      </c>
      <c r="D118" s="241" t="str">
        <f>小4【S2】!$D$5</f>
        <v>現</v>
      </c>
      <c r="E118" s="240" t="str">
        <f>小4【S2】!$E$5</f>
        <v>社　会</v>
      </c>
      <c r="F118" s="241" t="str">
        <f>小4【S2】!$F$5</f>
        <v>わたしたちの県</v>
      </c>
      <c r="G118" s="241" t="str">
        <f>小4【S2】!$G$5</f>
        <v>現</v>
      </c>
      <c r="H118" s="240" t="str">
        <f>小4【S2】!$H$5</f>
        <v>算　数</v>
      </c>
      <c r="I118" s="241" t="str">
        <f>小4【S2】!$I$5</f>
        <v>直方体と立方体</v>
      </c>
      <c r="J118" s="241" t="str">
        <f>小4【S2】!$J$5</f>
        <v>現</v>
      </c>
      <c r="K118" s="240" t="str">
        <f>小4【S2】!$K$5</f>
        <v>日本語</v>
      </c>
      <c r="L118" s="241" t="str">
        <f>小4【S2】!$L$5</f>
        <v>日本の文化</v>
      </c>
      <c r="M118" s="241" t="str">
        <f>小4【S2】!$M$5</f>
        <v>ス</v>
      </c>
      <c r="N118" s="240" t="str">
        <f>小4【S2】!$N$5</f>
        <v>日本語</v>
      </c>
      <c r="O118" s="241" t="str">
        <f>小4【S2】!$O$5</f>
        <v>語彙</v>
      </c>
      <c r="P118" s="241" t="str">
        <f>小4【S2】!$P$5</f>
        <v>ス</v>
      </c>
      <c r="Q118" s="240" t="str">
        <f>小4【S2】!$B$10</f>
        <v>日本語</v>
      </c>
      <c r="R118" s="241" t="str">
        <f>小4【S2】!$C$10</f>
        <v>学校生活</v>
      </c>
      <c r="S118" s="241" t="str">
        <f>小4【S2】!$D$10</f>
        <v>ス</v>
      </c>
      <c r="T118" s="235"/>
    </row>
    <row r="119" spans="1:20" ht="24.95" customHeight="1" x14ac:dyDescent="0.15">
      <c r="A119" s="239">
        <f>小4【S2】!$A$6</f>
        <v>3</v>
      </c>
      <c r="B119" s="240" t="str">
        <f>小4【S2】!$B$6</f>
        <v>国　語</v>
      </c>
      <c r="C119" s="241" t="str">
        <f>小4【S2】!$C$6</f>
        <v>漢字の音と訓（小3）</v>
      </c>
      <c r="D119" s="241" t="str">
        <f>小4【S2】!$D$6</f>
        <v>ス</v>
      </c>
      <c r="E119" s="240" t="str">
        <f>小4【S2】!$E$6</f>
        <v>日本語</v>
      </c>
      <c r="F119" s="241" t="str">
        <f>小4【S2】!$F$6</f>
        <v>学校生活</v>
      </c>
      <c r="G119" s="241" t="str">
        <f>小4【S2】!$G$6</f>
        <v>ス</v>
      </c>
      <c r="H119" s="240" t="str">
        <f>小4【S2】!$H$6</f>
        <v>日本語</v>
      </c>
      <c r="I119" s="241" t="str">
        <f>小4【S2】!$I$6</f>
        <v>日本語能力試験</v>
      </c>
      <c r="J119" s="241" t="str">
        <f>小4【S2】!$J$6</f>
        <v>ス</v>
      </c>
      <c r="K119" s="240" t="str">
        <f>小4【S2】!$K$6</f>
        <v>日本語</v>
      </c>
      <c r="L119" s="241" t="str">
        <f>小4【S2】!$L$6</f>
        <v>家庭生活</v>
      </c>
      <c r="M119" s="241" t="str">
        <f>小4【S2】!$M$6</f>
        <v>ス</v>
      </c>
      <c r="N119" s="240" t="str">
        <f>小4【S2】!$N$6</f>
        <v>日本語</v>
      </c>
      <c r="O119" s="241" t="str">
        <f>小4【S2】!$O$6</f>
        <v>家庭生活</v>
      </c>
      <c r="P119" s="241" t="str">
        <f>小4【S2】!$P$6</f>
        <v>ス</v>
      </c>
      <c r="Q119" s="240" t="str">
        <f>小4【S2】!$B$11</f>
        <v>図　工</v>
      </c>
      <c r="R119" s="241" t="str">
        <f>小4【S2】!$C$11</f>
        <v>学習用具・教科用語</v>
      </c>
      <c r="S119" s="241" t="str">
        <f>小4【S2】!$D$11</f>
        <v>ス</v>
      </c>
      <c r="T119" s="235"/>
    </row>
    <row r="120" spans="1:20" ht="24.95" customHeight="1" x14ac:dyDescent="0.15">
      <c r="A120" s="239">
        <f>小4【S2】!$A$7</f>
        <v>4</v>
      </c>
      <c r="B120" s="240" t="str">
        <f>小4【S2】!$B$7</f>
        <v>算　数</v>
      </c>
      <c r="C120" s="241" t="str">
        <f>小4【S2】!$C$7</f>
        <v>三角形と四角形（小2）</v>
      </c>
      <c r="D120" s="241" t="str">
        <f>小4【S2】!$D$7</f>
        <v>ス</v>
      </c>
      <c r="E120" s="240" t="str">
        <f>小4【S2】!$E$7</f>
        <v>日本語</v>
      </c>
      <c r="F120" s="241" t="str">
        <f>小4【S2】!$F$7</f>
        <v>語彙</v>
      </c>
      <c r="G120" s="241" t="str">
        <f>小4【S2】!$G$7</f>
        <v>ス</v>
      </c>
      <c r="H120" s="240" t="str">
        <f>小4【S2】!$H$7</f>
        <v>算　数</v>
      </c>
      <c r="I120" s="241" t="str">
        <f>小4【S2】!$I$7</f>
        <v>三角形と四角形（小2）</v>
      </c>
      <c r="J120" s="241" t="str">
        <f>小4【S2】!$J$7</f>
        <v>ス</v>
      </c>
      <c r="K120" s="240" t="str">
        <f>小4【S2】!$K$7</f>
        <v>算　数</v>
      </c>
      <c r="L120" s="241" t="str">
        <f>小4【S2】!$L$7</f>
        <v>三角形と四角形（小2）</v>
      </c>
      <c r="M120" s="241" t="str">
        <f>小4【S2】!$M$7</f>
        <v>ス</v>
      </c>
      <c r="N120" s="240" t="str">
        <f>小4【S2】!$N$7</f>
        <v>理　科</v>
      </c>
      <c r="O120" s="241" t="str">
        <f>小4【S2】!$O$7</f>
        <v>学習用具・教科用語</v>
      </c>
      <c r="P120" s="241" t="str">
        <f>小4【S2】!$P$7</f>
        <v>ス</v>
      </c>
      <c r="Q120" s="240" t="str">
        <f>小4【S2】!$B$12</f>
        <v>体　育</v>
      </c>
      <c r="R120" s="241" t="str">
        <f>小4【S2】!$C$12</f>
        <v>学習用具・教科用語</v>
      </c>
      <c r="S120" s="241" t="str">
        <f>小4【S2】!$D$12</f>
        <v>ス</v>
      </c>
      <c r="T120" s="235"/>
    </row>
    <row r="121" spans="1:20" ht="24.95" customHeight="1" x14ac:dyDescent="0.15">
      <c r="A121" s="242"/>
      <c r="B121" s="274" t="s">
        <v>198</v>
      </c>
      <c r="C121" s="275"/>
      <c r="D121" s="276"/>
      <c r="E121" s="274" t="s">
        <v>199</v>
      </c>
      <c r="F121" s="275"/>
      <c r="G121" s="276"/>
      <c r="H121" s="243"/>
      <c r="I121" s="244"/>
      <c r="J121" s="244"/>
      <c r="K121" s="244"/>
      <c r="L121" s="244"/>
      <c r="M121" s="244"/>
      <c r="N121" s="244"/>
      <c r="O121" s="244"/>
      <c r="P121" s="244"/>
      <c r="Q121" s="244"/>
      <c r="R121" s="244"/>
      <c r="S121" s="244"/>
    </row>
    <row r="122" spans="1:20" ht="24.95" customHeight="1" x14ac:dyDescent="0.15">
      <c r="A122" s="236">
        <f>小4【S2】!$A$4</f>
        <v>1</v>
      </c>
      <c r="B122" s="237" t="str">
        <f>小4【S2】!$E$9</f>
        <v>国　語</v>
      </c>
      <c r="C122" s="238" t="str">
        <f>小4【S2】!$F$9</f>
        <v>十年後のわたしへ</v>
      </c>
      <c r="D122" s="238" t="str">
        <f>小4【S2】!$G$9</f>
        <v>現</v>
      </c>
      <c r="E122" s="237" t="str">
        <f>小4【S2】!$H$9</f>
        <v>国　語</v>
      </c>
      <c r="F122" s="238" t="str">
        <f>小4【S2】!$I$9</f>
        <v>動詞の働き・種類・形の変化</v>
      </c>
      <c r="G122" s="238" t="str">
        <f>小4【S2】!$J$9</f>
        <v>現</v>
      </c>
      <c r="H122" s="245"/>
    </row>
    <row r="123" spans="1:20" ht="24.95" customHeight="1" x14ac:dyDescent="0.15">
      <c r="A123" s="239">
        <f>小4【S2】!$A$5</f>
        <v>2</v>
      </c>
      <c r="B123" s="240" t="str">
        <f>小4【S2】!$E$10</f>
        <v>算　数</v>
      </c>
      <c r="C123" s="241" t="str">
        <f>小4【S2】!$F$10</f>
        <v>だれでしょう</v>
      </c>
      <c r="D123" s="241" t="str">
        <f>小4【S2】!$G$10</f>
        <v>現</v>
      </c>
      <c r="E123" s="240" t="str">
        <f>小4【S2】!$H$10</f>
        <v>音　楽</v>
      </c>
      <c r="F123" s="241" t="str">
        <f>小4【S2】!$I$10</f>
        <v>学習用具・教科用語</v>
      </c>
      <c r="G123" s="241" t="str">
        <f>小4【S2】!$J$10</f>
        <v>現</v>
      </c>
      <c r="H123" s="245"/>
    </row>
    <row r="124" spans="1:20" ht="24.95" customHeight="1" x14ac:dyDescent="0.15">
      <c r="A124" s="239">
        <f>小4【S2】!$A$6</f>
        <v>3</v>
      </c>
      <c r="B124" s="240" t="str">
        <f>小4【S2】!$E$11</f>
        <v>社　会</v>
      </c>
      <c r="C124" s="241" t="str">
        <f>小4【S2】!$F$11</f>
        <v>学習用具・教科用語</v>
      </c>
      <c r="D124" s="241" t="str">
        <f>小4【S2】!$G$11</f>
        <v>ス</v>
      </c>
      <c r="E124" s="240" t="str">
        <f>小4【S2】!$H$11</f>
        <v>日本語</v>
      </c>
      <c r="F124" s="241" t="str">
        <f>小4【S2】!$I$11</f>
        <v>語彙</v>
      </c>
      <c r="G124" s="241" t="str">
        <f>小4【S2】!$J$11</f>
        <v>ス</v>
      </c>
      <c r="H124" s="245"/>
    </row>
    <row r="125" spans="1:20" ht="24.95" customHeight="1" x14ac:dyDescent="0.15">
      <c r="A125" s="239">
        <f>小4【S2】!$A$7</f>
        <v>4</v>
      </c>
      <c r="B125" s="240" t="str">
        <f>小4【S2】!$E$12</f>
        <v>算　数</v>
      </c>
      <c r="C125" s="241" t="str">
        <f>小4【S2】!$F$12</f>
        <v>はこの形（小2）</v>
      </c>
      <c r="D125" s="241" t="str">
        <f>小4【S2】!$G$12</f>
        <v>ス</v>
      </c>
      <c r="E125" s="240" t="str">
        <f>小4【S2】!$H$12</f>
        <v>算　数</v>
      </c>
      <c r="F125" s="241" t="str">
        <f>小4【S2】!$I$12</f>
        <v>はこの形（小2）</v>
      </c>
      <c r="G125" s="241" t="str">
        <f>小4【S2】!$J$12</f>
        <v>ス</v>
      </c>
      <c r="H125" s="245"/>
    </row>
    <row r="126" spans="1:20" ht="24.95" customHeight="1" x14ac:dyDescent="0.15">
      <c r="A126" s="242"/>
      <c r="B126" s="247"/>
      <c r="C126" s="248"/>
      <c r="D126" s="248"/>
      <c r="E126" s="247"/>
      <c r="F126" s="248"/>
      <c r="G126" s="248"/>
      <c r="H126" s="249"/>
      <c r="I126" s="250"/>
      <c r="J126" s="250"/>
      <c r="K126" s="249"/>
      <c r="L126" s="251"/>
      <c r="M126" s="251"/>
      <c r="N126" s="249"/>
      <c r="O126" s="251"/>
      <c r="P126" s="251"/>
      <c r="Q126" s="229"/>
      <c r="R126" s="208"/>
      <c r="S126" s="208"/>
    </row>
    <row r="127" spans="1:20" ht="24.95" customHeight="1" x14ac:dyDescent="0.15">
      <c r="A127" s="228"/>
      <c r="B127" s="229"/>
      <c r="C127" s="270" t="str">
        <f>小4【S3】!$C$2</f>
        <v>小4　3月　【S3】　指導ユニット　モジュール（現学年・ステップ）配当計画</v>
      </c>
      <c r="D127" s="271"/>
      <c r="E127" s="271"/>
      <c r="F127" s="271"/>
      <c r="G127" s="272"/>
      <c r="H127" s="272"/>
      <c r="I127" s="272"/>
      <c r="J127" s="272"/>
      <c r="K127" s="272"/>
      <c r="L127" s="272"/>
      <c r="M127" s="273"/>
      <c r="N127" s="272"/>
      <c r="O127" s="208"/>
      <c r="P127" s="208"/>
      <c r="Q127" s="229"/>
      <c r="R127" s="208"/>
      <c r="S127" s="208"/>
    </row>
    <row r="128" spans="1:20" ht="24.95" customHeight="1" x14ac:dyDescent="0.15">
      <c r="A128" s="234" t="s">
        <v>191</v>
      </c>
      <c r="B128" s="274" t="s">
        <v>192</v>
      </c>
      <c r="C128" s="275"/>
      <c r="D128" s="276"/>
      <c r="E128" s="274" t="s">
        <v>193</v>
      </c>
      <c r="F128" s="275"/>
      <c r="G128" s="276"/>
      <c r="H128" s="274" t="s">
        <v>194</v>
      </c>
      <c r="I128" s="275"/>
      <c r="J128" s="276"/>
      <c r="K128" s="274" t="s">
        <v>195</v>
      </c>
      <c r="L128" s="275"/>
      <c r="M128" s="276"/>
      <c r="N128" s="274" t="s">
        <v>196</v>
      </c>
      <c r="O128" s="275"/>
      <c r="P128" s="276"/>
      <c r="Q128" s="274" t="s">
        <v>197</v>
      </c>
      <c r="R128" s="275"/>
      <c r="S128" s="276"/>
      <c r="T128" s="235"/>
    </row>
    <row r="129" spans="1:20" ht="24.95" customHeight="1" x14ac:dyDescent="0.15">
      <c r="A129" s="236">
        <f>小4【S3】!$A$4</f>
        <v>1</v>
      </c>
      <c r="B129" s="237" t="str">
        <f>小4【S3】!$B$4</f>
        <v>国　語</v>
      </c>
      <c r="C129" s="238" t="str">
        <f>小4【S3】!$C$4</f>
        <v>まちがえやすい漢字</v>
      </c>
      <c r="D129" s="238" t="str">
        <f>小4【S3】!$D$4</f>
        <v>現</v>
      </c>
      <c r="E129" s="237" t="str">
        <f>小4【S3】!$E$4</f>
        <v>国　語</v>
      </c>
      <c r="F129" s="238" t="str">
        <f>小4【S3】!$F$4</f>
        <v>初雪のふる日</v>
      </c>
      <c r="G129" s="238" t="str">
        <f>小4【S3】!$G$4</f>
        <v>現</v>
      </c>
      <c r="H129" s="237" t="str">
        <f>小4【S3】!$H$4</f>
        <v>国　語</v>
      </c>
      <c r="I129" s="238" t="str">
        <f>小4【S3】!$I$4</f>
        <v>漢字の広場⑥</v>
      </c>
      <c r="J129" s="238" t="str">
        <f>小4【S3】!$J$4</f>
        <v>現</v>
      </c>
      <c r="K129" s="237" t="str">
        <f>小4【S3】!$K$4</f>
        <v>国　語</v>
      </c>
      <c r="L129" s="238" t="str">
        <f>小4【S3】!$L$4</f>
        <v>十年後のわたしへ</v>
      </c>
      <c r="M129" s="238" t="str">
        <f>小4【S3】!$M$4</f>
        <v>現</v>
      </c>
      <c r="N129" s="237" t="str">
        <f>小4【S3】!$N$4</f>
        <v>国　語</v>
      </c>
      <c r="O129" s="238" t="str">
        <f>小4【S3】!$O$4</f>
        <v>十年後のわたしへ</v>
      </c>
      <c r="P129" s="238" t="str">
        <f>小4【S3】!$P$4</f>
        <v>現</v>
      </c>
      <c r="Q129" s="237" t="str">
        <f>小4【S3】!$B$9</f>
        <v>国　語</v>
      </c>
      <c r="R129" s="238" t="str">
        <f>小4【S3】!$C$9</f>
        <v>動詞の働き・種類・形の変化</v>
      </c>
      <c r="S129" s="238" t="str">
        <f>小4【S3】!$D$9</f>
        <v>現</v>
      </c>
      <c r="T129" s="235"/>
    </row>
    <row r="130" spans="1:20" ht="24.95" customHeight="1" x14ac:dyDescent="0.15">
      <c r="A130" s="239">
        <f>小4【S3】!$A$5</f>
        <v>2</v>
      </c>
      <c r="B130" s="240" t="str">
        <f>小4【S3】!$B$5</f>
        <v>算　数</v>
      </c>
      <c r="C130" s="241" t="str">
        <f>小4【S3】!$C$5</f>
        <v>直方体と立方体</v>
      </c>
      <c r="D130" s="241" t="str">
        <f>小4【S3】!$D$5</f>
        <v>現</v>
      </c>
      <c r="E130" s="240" t="str">
        <f>小4【S3】!$E$5</f>
        <v>国　語</v>
      </c>
      <c r="F130" s="241" t="str">
        <f>小4【S3】!$F$5</f>
        <v>初雪のふる日</v>
      </c>
      <c r="G130" s="241" t="str">
        <f>小4【S3】!$G$5</f>
        <v>現</v>
      </c>
      <c r="H130" s="240" t="str">
        <f>小4【S3】!$H$5</f>
        <v>算　数</v>
      </c>
      <c r="I130" s="241" t="str">
        <f>小4【S3】!$I$5</f>
        <v>だれでしょう</v>
      </c>
      <c r="J130" s="241" t="str">
        <f>小4【S3】!$J$5</f>
        <v>現</v>
      </c>
      <c r="K130" s="240" t="str">
        <f>小4【S3】!$K$5</f>
        <v>算　数</v>
      </c>
      <c r="L130" s="241" t="str">
        <f>小4【S3】!$L$5</f>
        <v>もうすぐ5年生</v>
      </c>
      <c r="M130" s="241" t="str">
        <f>小4【S3】!$M$5</f>
        <v>現</v>
      </c>
      <c r="N130" s="240" t="str">
        <f>小4【S3】!$N$5</f>
        <v>社　会</v>
      </c>
      <c r="O130" s="241" t="str">
        <f>小4【S3】!$O$5</f>
        <v>わたしたちの県</v>
      </c>
      <c r="P130" s="241" t="str">
        <f>小4【S3】!$P$5</f>
        <v>現</v>
      </c>
      <c r="Q130" s="240" t="str">
        <f>小4【S3】!$B$10</f>
        <v>図　工</v>
      </c>
      <c r="R130" s="241" t="str">
        <f>小4【S3】!$C$10</f>
        <v>学習用具・教科用語</v>
      </c>
      <c r="S130" s="241" t="str">
        <f>小4【S3】!$D$10</f>
        <v>現</v>
      </c>
      <c r="T130" s="235"/>
    </row>
    <row r="131" spans="1:20" ht="24.95" customHeight="1" x14ac:dyDescent="0.15">
      <c r="A131" s="239">
        <f>小4【S3】!$A$6</f>
        <v>3</v>
      </c>
      <c r="B131" s="240" t="str">
        <f>小4【S3】!$B$6</f>
        <v>国　語</v>
      </c>
      <c r="C131" s="241" t="str">
        <f>小4【S3】!$C$6</f>
        <v>漢字の音と訓（小3）</v>
      </c>
      <c r="D131" s="241" t="str">
        <f>小4【S3】!$D$6</f>
        <v>ス</v>
      </c>
      <c r="E131" s="240" t="str">
        <f>小4【S3】!$E$6</f>
        <v>算　数</v>
      </c>
      <c r="F131" s="241" t="str">
        <f>小4【S3】!$F$6</f>
        <v>直方体と立方体</v>
      </c>
      <c r="G131" s="241" t="str">
        <f>小4【S3】!$G$6</f>
        <v>現</v>
      </c>
      <c r="H131" s="240" t="str">
        <f>小4【S3】!$H$6</f>
        <v>理　科</v>
      </c>
      <c r="I131" s="241" t="str">
        <f>小4【S3】!$I$6</f>
        <v>自然の中の水</v>
      </c>
      <c r="J131" s="241" t="str">
        <f>小4【S3】!$J$6</f>
        <v>現</v>
      </c>
      <c r="K131" s="240" t="str">
        <f>小4【S3】!$K$6</f>
        <v>日本語</v>
      </c>
      <c r="L131" s="241" t="str">
        <f>小4【S3】!$L$6</f>
        <v>日本の文化</v>
      </c>
      <c r="M131" s="241" t="str">
        <f>小4【S3】!$M$6</f>
        <v>ス</v>
      </c>
      <c r="N131" s="240" t="str">
        <f>小4【S3】!$N$6</f>
        <v>日本語</v>
      </c>
      <c r="O131" s="241" t="str">
        <f>小4【S3】!$O$6</f>
        <v>語彙</v>
      </c>
      <c r="P131" s="241" t="str">
        <f>小4【S3】!$P$6</f>
        <v>ス</v>
      </c>
      <c r="Q131" s="240" t="str">
        <f>小4【S3】!$B$11</f>
        <v>日本語</v>
      </c>
      <c r="R131" s="241" t="str">
        <f>小4【S3】!$C$11</f>
        <v>学校生活</v>
      </c>
      <c r="S131" s="241" t="str">
        <f>小4【S3】!$D$11</f>
        <v>ス</v>
      </c>
      <c r="T131" s="235"/>
    </row>
    <row r="132" spans="1:20" ht="24.95" customHeight="1" x14ac:dyDescent="0.15">
      <c r="A132" s="239">
        <f>小4【S3】!$A$7</f>
        <v>4</v>
      </c>
      <c r="B132" s="240" t="str">
        <f>小4【S3】!$B$7</f>
        <v>理　科</v>
      </c>
      <c r="C132" s="241" t="str">
        <f>小4【S3】!$C$7</f>
        <v>学習用具・教科用語</v>
      </c>
      <c r="D132" s="241" t="str">
        <f>小4【S3】!$D$7</f>
        <v>ス</v>
      </c>
      <c r="E132" s="240" t="str">
        <f>小4【S3】!$E$7</f>
        <v>日本語</v>
      </c>
      <c r="F132" s="241" t="str">
        <f>小4【S3】!$F$7</f>
        <v>日本語能力試験</v>
      </c>
      <c r="G132" s="241" t="str">
        <f>小4【S3】!$G$7</f>
        <v>ス</v>
      </c>
      <c r="H132" s="240" t="str">
        <f>小4【S3】!$H$7</f>
        <v>算　数</v>
      </c>
      <c r="I132" s="241" t="str">
        <f>小4【S3】!$I$7</f>
        <v>三角形と四角形（小2）</v>
      </c>
      <c r="J132" s="241" t="str">
        <f>小4【S3】!$J$7</f>
        <v>ス</v>
      </c>
      <c r="K132" s="240" t="str">
        <f>小4【S3】!$K$7</f>
        <v>日本語</v>
      </c>
      <c r="L132" s="241" t="str">
        <f>小4【S3】!$L$7</f>
        <v>語彙</v>
      </c>
      <c r="M132" s="241" t="str">
        <f>小4【S3】!$M$7</f>
        <v>ス</v>
      </c>
      <c r="N132" s="240" t="str">
        <f>小4【S3】!$N$7</f>
        <v>算　数</v>
      </c>
      <c r="O132" s="241" t="str">
        <f>小4【S3】!$O$7</f>
        <v>はこの形（小2）</v>
      </c>
      <c r="P132" s="241" t="str">
        <f>小4【S3】!$P$7</f>
        <v>ス</v>
      </c>
      <c r="Q132" s="240" t="str">
        <f>小4【S3】!$B$12</f>
        <v>音　楽</v>
      </c>
      <c r="R132" s="241" t="str">
        <f>小4【S3】!$C$12</f>
        <v>学習用具・教科用語</v>
      </c>
      <c r="S132" s="241" t="str">
        <f>小4【S3】!$D$12</f>
        <v>ス</v>
      </c>
      <c r="T132" s="235"/>
    </row>
    <row r="133" spans="1:20" ht="24.95" customHeight="1" x14ac:dyDescent="0.15">
      <c r="A133" s="252"/>
      <c r="B133" s="253"/>
      <c r="C133" s="254"/>
      <c r="D133" s="254"/>
      <c r="E133" s="253"/>
      <c r="F133" s="254"/>
      <c r="G133" s="254"/>
      <c r="H133" s="253"/>
      <c r="I133" s="255"/>
      <c r="J133" s="255"/>
      <c r="K133" s="253"/>
      <c r="L133" s="254"/>
      <c r="M133" s="254"/>
      <c r="N133" s="253"/>
      <c r="O133" s="254"/>
      <c r="P133" s="254"/>
      <c r="Q133" s="253"/>
      <c r="R133" s="254"/>
      <c r="S133" s="254"/>
    </row>
    <row r="134" spans="1:20" ht="24.95" customHeight="1" x14ac:dyDescent="0.15">
      <c r="A134" s="228"/>
      <c r="B134" s="229"/>
      <c r="C134" s="270" t="str">
        <f>小4【S4】!$C$2</f>
        <v>小4　3月　【S4】　指導ユニット　モジュール（現学年・ステップ）配当計画</v>
      </c>
      <c r="D134" s="271"/>
      <c r="E134" s="271"/>
      <c r="F134" s="271"/>
      <c r="G134" s="272"/>
      <c r="H134" s="272"/>
      <c r="I134" s="272"/>
      <c r="J134" s="272"/>
      <c r="K134" s="272"/>
      <c r="L134" s="272"/>
      <c r="M134" s="273"/>
      <c r="N134" s="272"/>
      <c r="O134" s="208"/>
      <c r="P134" s="208"/>
      <c r="Q134" s="229"/>
      <c r="R134" s="208"/>
      <c r="S134" s="208"/>
    </row>
    <row r="135" spans="1:20" ht="24.95" customHeight="1" x14ac:dyDescent="0.15">
      <c r="A135" s="234" t="s">
        <v>191</v>
      </c>
      <c r="B135" s="274" t="s">
        <v>192</v>
      </c>
      <c r="C135" s="275"/>
      <c r="D135" s="276"/>
      <c r="E135" s="274" t="s">
        <v>193</v>
      </c>
      <c r="F135" s="275"/>
      <c r="G135" s="276"/>
      <c r="H135" s="274" t="s">
        <v>194</v>
      </c>
      <c r="I135" s="275"/>
      <c r="J135" s="276"/>
      <c r="K135" s="274" t="s">
        <v>195</v>
      </c>
      <c r="L135" s="275"/>
      <c r="M135" s="276"/>
      <c r="N135" s="245"/>
    </row>
    <row r="136" spans="1:20" ht="24.95" customHeight="1" x14ac:dyDescent="0.15">
      <c r="A136" s="236">
        <f>小4【S4】!$A$4</f>
        <v>1</v>
      </c>
      <c r="B136" s="237" t="str">
        <f>小4【S4】!$B$4</f>
        <v>国　語</v>
      </c>
      <c r="C136" s="238" t="str">
        <f>小4【S4】!$C$4</f>
        <v>まちがえやすい漢字</v>
      </c>
      <c r="D136" s="238" t="str">
        <f>小4【S4】!$D$4</f>
        <v>現</v>
      </c>
      <c r="E136" s="237" t="str">
        <f>小4【S4】!$E$4</f>
        <v>国　語</v>
      </c>
      <c r="F136" s="238" t="str">
        <f>小4【S4】!$F$4</f>
        <v>初雪のふる日</v>
      </c>
      <c r="G136" s="238" t="str">
        <f>小4【S4】!$G$4</f>
        <v>現</v>
      </c>
      <c r="H136" s="237" t="str">
        <f>小4【S4】!$H$4</f>
        <v>国　語</v>
      </c>
      <c r="I136" s="238" t="str">
        <f>小4【S4】!$I$4</f>
        <v>漢字の広場⑥</v>
      </c>
      <c r="J136" s="238" t="str">
        <f>小4【S4】!$J$4</f>
        <v>現</v>
      </c>
      <c r="K136" s="237" t="str">
        <f>小4【S4】!$K$4</f>
        <v>国　語</v>
      </c>
      <c r="L136" s="238" t="str">
        <f>小4【S4】!$L$4</f>
        <v>十年後のわたしへ</v>
      </c>
      <c r="M136" s="238" t="str">
        <f>小4【S4】!$M$4</f>
        <v>現</v>
      </c>
      <c r="N136" s="245"/>
    </row>
    <row r="137" spans="1:20" ht="24.95" customHeight="1" x14ac:dyDescent="0.15">
      <c r="A137" s="239">
        <f>小4【S4】!$A$5</f>
        <v>2</v>
      </c>
      <c r="B137" s="240" t="str">
        <f>小4【S4】!$B$5</f>
        <v>社　会</v>
      </c>
      <c r="C137" s="241" t="str">
        <f>小4【S4】!$C$5</f>
        <v>わたしたちの県</v>
      </c>
      <c r="D137" s="241" t="str">
        <f>小4【S4】!$D$5</f>
        <v>現</v>
      </c>
      <c r="E137" s="240" t="str">
        <f>小4【S4】!$E$5</f>
        <v>算　数</v>
      </c>
      <c r="F137" s="241" t="str">
        <f>小4【S4】!$F$5</f>
        <v>だれでしょう</v>
      </c>
      <c r="G137" s="241" t="str">
        <f>小4【S4】!$G$5</f>
        <v>現</v>
      </c>
      <c r="H137" s="240" t="str">
        <f>小4【S4】!$H$5</f>
        <v>算　数</v>
      </c>
      <c r="I137" s="241" t="str">
        <f>小4【S4】!$I$5</f>
        <v>もうすぐ5年生</v>
      </c>
      <c r="J137" s="241" t="str">
        <f>小4【S4】!$J$5</f>
        <v>現</v>
      </c>
      <c r="K137" s="240" t="str">
        <f>小4【S4】!$K$5</f>
        <v>国　語</v>
      </c>
      <c r="L137" s="241" t="str">
        <f>小4【S4】!$L$5</f>
        <v>動詞の働き・種類・形の変化</v>
      </c>
      <c r="M137" s="241" t="str">
        <f>小4【S4】!$M$5</f>
        <v>現</v>
      </c>
      <c r="N137" s="245"/>
    </row>
    <row r="138" spans="1:20" ht="24.95" customHeight="1" x14ac:dyDescent="0.15">
      <c r="A138" s="239">
        <f>小4【S4】!$A$6</f>
        <v>3</v>
      </c>
      <c r="B138" s="240" t="str">
        <f>小4【S4】!$B$6</f>
        <v>算　数</v>
      </c>
      <c r="C138" s="241" t="str">
        <f>小4【S4】!$C$6</f>
        <v>直方体と立方体</v>
      </c>
      <c r="D138" s="241" t="str">
        <f>小4【S4】!$D$6</f>
        <v>現</v>
      </c>
      <c r="E138" s="240" t="str">
        <f>小4【S4】!$E$6</f>
        <v>音　楽</v>
      </c>
      <c r="F138" s="241" t="str">
        <f>小4【S4】!$F$6</f>
        <v>学習用具・教科用語</v>
      </c>
      <c r="G138" s="241" t="str">
        <f>小4【S4】!$G$6</f>
        <v>現</v>
      </c>
      <c r="H138" s="240" t="str">
        <f>小4【S4】!$H$6</f>
        <v>理　科</v>
      </c>
      <c r="I138" s="241" t="str">
        <f>小4【S4】!$I$6</f>
        <v>自然の中の水</v>
      </c>
      <c r="J138" s="241" t="str">
        <f>小4【S4】!$J$6</f>
        <v>現</v>
      </c>
      <c r="K138" s="240" t="str">
        <f>小4【S4】!$K$6</f>
        <v>理　科</v>
      </c>
      <c r="L138" s="241" t="str">
        <f>小4【S4】!$L$6</f>
        <v>自然の中の水</v>
      </c>
      <c r="M138" s="241" t="str">
        <f>小4【S4】!$M$6</f>
        <v>現</v>
      </c>
      <c r="N138" s="245"/>
    </row>
    <row r="139" spans="1:20" ht="24.95" customHeight="1" x14ac:dyDescent="0.15">
      <c r="A139" s="239">
        <f>小4【S4】!$A$7</f>
        <v>4</v>
      </c>
      <c r="B139" s="240" t="str">
        <f>小4【S4】!$B$7</f>
        <v>日本語</v>
      </c>
      <c r="C139" s="241" t="str">
        <f>小4【S4】!$C$7</f>
        <v>語彙</v>
      </c>
      <c r="D139" s="241" t="str">
        <f>小4【S4】!$D$7</f>
        <v>ス</v>
      </c>
      <c r="E139" s="240" t="str">
        <f>小4【S4】!$E$7</f>
        <v>社　会</v>
      </c>
      <c r="F139" s="241" t="str">
        <f>小4【S4】!$F$7</f>
        <v>学習用具・教科用語</v>
      </c>
      <c r="G139" s="241" t="str">
        <f>小4【S4】!$G$7</f>
        <v>ス</v>
      </c>
      <c r="H139" s="240" t="str">
        <f>小4【S4】!$H$7</f>
        <v>算　数</v>
      </c>
      <c r="I139" s="241" t="str">
        <f>小4【S4】!$I$7</f>
        <v>三角形と四角形（小2）</v>
      </c>
      <c r="J139" s="241" t="str">
        <f>小4【S4】!$J$7</f>
        <v>ス</v>
      </c>
      <c r="K139" s="240" t="str">
        <f>小4【S4】!$K$7</f>
        <v>日本語</v>
      </c>
      <c r="L139" s="241" t="str">
        <f>小4【S4】!$L$7</f>
        <v>日本語能力試験</v>
      </c>
      <c r="M139" s="241" t="str">
        <f>小4【S4】!$M$7</f>
        <v>ス</v>
      </c>
      <c r="N139" s="245"/>
    </row>
    <row r="140" spans="1:20" ht="24.95" customHeight="1" x14ac:dyDescent="0.15">
      <c r="A140" s="252"/>
      <c r="B140" s="253"/>
      <c r="C140" s="254"/>
      <c r="D140" s="254"/>
      <c r="E140" s="253"/>
      <c r="F140" s="254"/>
      <c r="G140" s="254"/>
      <c r="H140" s="253"/>
      <c r="I140" s="254"/>
      <c r="J140" s="254"/>
      <c r="K140" s="253"/>
      <c r="L140" s="254"/>
      <c r="M140" s="254"/>
      <c r="N140" s="229"/>
      <c r="O140" s="208"/>
      <c r="P140" s="208"/>
      <c r="Q140" s="229"/>
      <c r="R140" s="208"/>
      <c r="S140" s="208"/>
    </row>
    <row r="141" spans="1:20" ht="24.95" customHeight="1" x14ac:dyDescent="0.15">
      <c r="A141" s="228"/>
      <c r="B141" s="229"/>
      <c r="C141" s="208"/>
      <c r="D141" s="208"/>
      <c r="E141" s="229"/>
      <c r="F141" s="208"/>
      <c r="G141" s="208"/>
      <c r="H141" s="229"/>
      <c r="I141" s="208"/>
      <c r="J141" s="208"/>
      <c r="K141" s="229"/>
      <c r="L141" s="208"/>
      <c r="M141" s="208"/>
      <c r="N141" s="229"/>
      <c r="O141" s="208"/>
      <c r="P141" s="208"/>
      <c r="Q141" s="229"/>
      <c r="R141" s="208"/>
      <c r="S141" s="208"/>
    </row>
    <row r="142" spans="1:20" ht="24.95" customHeight="1" x14ac:dyDescent="0.15">
      <c r="A142" s="228"/>
      <c r="B142" s="230"/>
      <c r="C142" s="270" t="str">
        <f>小5【S2】!$C$2</f>
        <v>小5　3月　【S2】　指導ユニット　モジュール（現学年・ステップ）配当計画</v>
      </c>
      <c r="D142" s="271"/>
      <c r="E142" s="271"/>
      <c r="F142" s="271"/>
      <c r="G142" s="272"/>
      <c r="H142" s="272"/>
      <c r="I142" s="272"/>
      <c r="J142" s="272"/>
      <c r="K142" s="272"/>
      <c r="L142" s="272"/>
      <c r="M142" s="273"/>
      <c r="N142" s="272"/>
      <c r="O142" s="208"/>
      <c r="P142" s="233"/>
      <c r="Q142" s="229"/>
      <c r="R142" s="208"/>
      <c r="S142" s="208"/>
    </row>
    <row r="143" spans="1:20" ht="24.95" customHeight="1" x14ac:dyDescent="0.15">
      <c r="A143" s="234" t="s">
        <v>191</v>
      </c>
      <c r="B143" s="274" t="s">
        <v>192</v>
      </c>
      <c r="C143" s="275"/>
      <c r="D143" s="276"/>
      <c r="E143" s="274" t="s">
        <v>193</v>
      </c>
      <c r="F143" s="275"/>
      <c r="G143" s="276"/>
      <c r="H143" s="274" t="s">
        <v>194</v>
      </c>
      <c r="I143" s="275"/>
      <c r="J143" s="276"/>
      <c r="K143" s="274" t="s">
        <v>195</v>
      </c>
      <c r="L143" s="275"/>
      <c r="M143" s="276"/>
      <c r="N143" s="274" t="s">
        <v>196</v>
      </c>
      <c r="O143" s="275"/>
      <c r="P143" s="276"/>
      <c r="Q143" s="274" t="s">
        <v>197</v>
      </c>
      <c r="R143" s="275"/>
      <c r="S143" s="276"/>
      <c r="T143" s="235"/>
    </row>
    <row r="144" spans="1:20" ht="24.95" customHeight="1" x14ac:dyDescent="0.15">
      <c r="A144" s="236">
        <f>小5【S2】!$A$4</f>
        <v>1</v>
      </c>
      <c r="B144" s="237" t="str">
        <f>小5【S2】!$B$4</f>
        <v>国　語</v>
      </c>
      <c r="C144" s="238" t="str">
        <f>小5【S2】!$C$4</f>
        <v>一まいの写真から</v>
      </c>
      <c r="D144" s="238" t="str">
        <f>小5【S2】!$D$4</f>
        <v>現</v>
      </c>
      <c r="E144" s="237" t="str">
        <f>小5【S2】!$E$4</f>
        <v>国　語</v>
      </c>
      <c r="F144" s="238" t="str">
        <f>小5【S2】!$F$4</f>
        <v>一まいの写真から</v>
      </c>
      <c r="G144" s="238" t="str">
        <f>小5【S2】!$G$4</f>
        <v>現</v>
      </c>
      <c r="H144" s="237" t="str">
        <f>小5【S2】!$H$4</f>
        <v>国　語</v>
      </c>
      <c r="I144" s="238" t="str">
        <f>小5【S2】!$I$4</f>
        <v>漢字の広場⑥</v>
      </c>
      <c r="J144" s="238" t="str">
        <f>小5【S2】!$J$4</f>
        <v>現</v>
      </c>
      <c r="K144" s="237" t="str">
        <f>小5【S2】!$K$4</f>
        <v>国　語</v>
      </c>
      <c r="L144" s="238" t="str">
        <f>小5【S2】!$L$4</f>
        <v>漢字の広場⑥</v>
      </c>
      <c r="M144" s="238" t="str">
        <f>小5【S2】!$M$4</f>
        <v>現</v>
      </c>
      <c r="N144" s="237" t="str">
        <f>小5【S2】!$N$4</f>
        <v>理　科</v>
      </c>
      <c r="O144" s="238" t="str">
        <f>小5【S2】!$O$4</f>
        <v>ふりこの動き</v>
      </c>
      <c r="P144" s="238" t="str">
        <f>小5【S2】!$P$4</f>
        <v>現</v>
      </c>
      <c r="Q144" s="237" t="str">
        <f>小5【S2】!$B$9</f>
        <v>国　語</v>
      </c>
      <c r="R144" s="238" t="str">
        <f>小5【S2】!$C$9</f>
        <v>六年生になったら</v>
      </c>
      <c r="S144" s="238" t="str">
        <f>小5【S2】!$D$9</f>
        <v>現</v>
      </c>
      <c r="T144" s="235"/>
    </row>
    <row r="145" spans="1:20" ht="24.95" customHeight="1" x14ac:dyDescent="0.15">
      <c r="A145" s="239">
        <f>小5【S2】!$A$5</f>
        <v>2</v>
      </c>
      <c r="B145" s="240" t="str">
        <f>小5【S2】!$B$5</f>
        <v>算　数</v>
      </c>
      <c r="C145" s="241" t="str">
        <f>小5【S2】!$C$5</f>
        <v>円と正多角形</v>
      </c>
      <c r="D145" s="241" t="str">
        <f>小5【S2】!$D$5</f>
        <v>現</v>
      </c>
      <c r="E145" s="240" t="str">
        <f>小5【S2】!$E$5</f>
        <v>社　会</v>
      </c>
      <c r="F145" s="241" t="str">
        <f>小5【S2】!$F$5</f>
        <v>世界とつながる日本</v>
      </c>
      <c r="G145" s="241" t="str">
        <f>小5【S2】!$G$5</f>
        <v>現</v>
      </c>
      <c r="H145" s="240" t="str">
        <f>小5【S2】!$H$5</f>
        <v>算　数</v>
      </c>
      <c r="I145" s="241" t="str">
        <f>小5【S2】!$I$5</f>
        <v>角柱と円柱</v>
      </c>
      <c r="J145" s="241" t="str">
        <f>小5【S2】!$J$5</f>
        <v>現</v>
      </c>
      <c r="K145" s="240" t="str">
        <f>小5【S2】!$K$5</f>
        <v>日本語</v>
      </c>
      <c r="L145" s="241" t="str">
        <f>小5【S2】!$L$5</f>
        <v>日本の文化</v>
      </c>
      <c r="M145" s="241" t="str">
        <f>小5【S2】!$M$5</f>
        <v>ス</v>
      </c>
      <c r="N145" s="240" t="str">
        <f>小5【S2】!$N$5</f>
        <v>日本語</v>
      </c>
      <c r="O145" s="241" t="str">
        <f>小5【S2】!$O$5</f>
        <v>語彙</v>
      </c>
      <c r="P145" s="241" t="str">
        <f>小5【S2】!$P$5</f>
        <v>ス</v>
      </c>
      <c r="Q145" s="240" t="str">
        <f>小5【S2】!$B$10</f>
        <v>社　会</v>
      </c>
      <c r="R145" s="241" t="str">
        <f>小5【S2】!$C$10</f>
        <v>学習用具・教科用語</v>
      </c>
      <c r="S145" s="241" t="str">
        <f>小5【S2】!$D$10</f>
        <v>ス</v>
      </c>
      <c r="T145" s="235"/>
    </row>
    <row r="146" spans="1:20" ht="24.95" customHeight="1" x14ac:dyDescent="0.15">
      <c r="A146" s="239">
        <f>小5【S2】!$A$6</f>
        <v>3</v>
      </c>
      <c r="B146" s="240" t="str">
        <f>小5【S2】!$B$6</f>
        <v>社　会</v>
      </c>
      <c r="C146" s="241" t="str">
        <f>小5【S2】!$C$6</f>
        <v>学習用具・教科用語</v>
      </c>
      <c r="D146" s="241" t="str">
        <f>小5【S2】!$D$6</f>
        <v>ス</v>
      </c>
      <c r="E146" s="240" t="str">
        <f>小5【S2】!$E$6</f>
        <v>日本語</v>
      </c>
      <c r="F146" s="241" t="str">
        <f>小5【S2】!$F$6</f>
        <v>学校生活</v>
      </c>
      <c r="G146" s="241" t="str">
        <f>小5【S2】!$G$6</f>
        <v>ス</v>
      </c>
      <c r="H146" s="240" t="str">
        <f>小5【S2】!$H$6</f>
        <v>日本語</v>
      </c>
      <c r="I146" s="241" t="str">
        <f>小5【S2】!$I$6</f>
        <v>日本語能力試験</v>
      </c>
      <c r="J146" s="241" t="str">
        <f>小5【S2】!$J$6</f>
        <v>ス</v>
      </c>
      <c r="K146" s="240" t="str">
        <f>小5【S2】!$K$6</f>
        <v>日本語</v>
      </c>
      <c r="L146" s="241" t="str">
        <f>小5【S2】!$L$6</f>
        <v>家庭生活</v>
      </c>
      <c r="M146" s="241" t="str">
        <f>小5【S2】!$M$6</f>
        <v>ス</v>
      </c>
      <c r="N146" s="240" t="str">
        <f>小5【S2】!$N$6</f>
        <v>図　工</v>
      </c>
      <c r="O146" s="241" t="str">
        <f>小5【S2】!$O$6</f>
        <v>学習用具・教科用語</v>
      </c>
      <c r="P146" s="241" t="str">
        <f>小5【S2】!$P$6</f>
        <v>ス</v>
      </c>
      <c r="Q146" s="240" t="str">
        <f>小5【S2】!$B$11</f>
        <v>日本語</v>
      </c>
      <c r="R146" s="241" t="str">
        <f>小5【S2】!$C$11</f>
        <v>家庭生活</v>
      </c>
      <c r="S146" s="241" t="str">
        <f>小5【S2】!$D$11</f>
        <v>ス</v>
      </c>
      <c r="T146" s="235"/>
    </row>
    <row r="147" spans="1:20" ht="24.95" customHeight="1" x14ac:dyDescent="0.15">
      <c r="A147" s="239">
        <f>小5【S2】!$A$7</f>
        <v>4</v>
      </c>
      <c r="B147" s="240" t="str">
        <f>小5【S2】!$B$7</f>
        <v>算　数</v>
      </c>
      <c r="C147" s="241" t="str">
        <f>小5【S2】!$C$7</f>
        <v>円と球（小3）</v>
      </c>
      <c r="D147" s="241" t="str">
        <f>小5【S2】!$D$7</f>
        <v>ス</v>
      </c>
      <c r="E147" s="240" t="str">
        <f>小5【S2】!$E$7</f>
        <v>日本語</v>
      </c>
      <c r="F147" s="241" t="str">
        <f>小5【S2】!$F$7</f>
        <v>語彙</v>
      </c>
      <c r="G147" s="241" t="str">
        <f>小5【S2】!$G$7</f>
        <v>ス</v>
      </c>
      <c r="H147" s="240" t="str">
        <f>小5【S2】!$H$7</f>
        <v>算　数</v>
      </c>
      <c r="I147" s="241" t="str">
        <f>小5【S2】!$I$7</f>
        <v>直方体と立方体（小4）</v>
      </c>
      <c r="J147" s="241" t="str">
        <f>小5【S2】!$J$7</f>
        <v>ス</v>
      </c>
      <c r="K147" s="240" t="str">
        <f>小5【S2】!$K$7</f>
        <v>算　数</v>
      </c>
      <c r="L147" s="241" t="str">
        <f>小5【S2】!$L$7</f>
        <v>円と球（小3）</v>
      </c>
      <c r="M147" s="241" t="str">
        <f>小5【S2】!$M$7</f>
        <v>ス</v>
      </c>
      <c r="N147" s="240" t="str">
        <f>小5【S2】!$N$7</f>
        <v>理　科</v>
      </c>
      <c r="O147" s="241" t="str">
        <f>小5【S2】!$O$7</f>
        <v>学習用具・教科用語</v>
      </c>
      <c r="P147" s="241" t="str">
        <f>小5【S2】!$P$7</f>
        <v>ス</v>
      </c>
      <c r="Q147" s="240" t="str">
        <f>小5【S2】!$B$12</f>
        <v>体　育</v>
      </c>
      <c r="R147" s="241" t="str">
        <f>小5【S2】!$C$12</f>
        <v>学習用具・教科用語</v>
      </c>
      <c r="S147" s="241" t="str">
        <f>小5【S2】!$D$12</f>
        <v>ス</v>
      </c>
      <c r="T147" s="235"/>
    </row>
    <row r="148" spans="1:20" ht="24.95" customHeight="1" x14ac:dyDescent="0.15">
      <c r="A148" s="242"/>
      <c r="B148" s="274" t="s">
        <v>198</v>
      </c>
      <c r="C148" s="275"/>
      <c r="D148" s="276"/>
      <c r="E148" s="274" t="s">
        <v>199</v>
      </c>
      <c r="F148" s="275"/>
      <c r="G148" s="276"/>
      <c r="H148" s="243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</row>
    <row r="149" spans="1:20" ht="24.95" customHeight="1" x14ac:dyDescent="0.15">
      <c r="A149" s="236">
        <f>小5【S2】!$A$4</f>
        <v>1</v>
      </c>
      <c r="B149" s="237" t="str">
        <f>小5【S2】!$E$9</f>
        <v>国　語</v>
      </c>
      <c r="C149" s="238" t="str">
        <f>小5【S2】!$F$9</f>
        <v>単文・複文・重文</v>
      </c>
      <c r="D149" s="238" t="str">
        <f>小5【S2】!$G$9</f>
        <v>現</v>
      </c>
      <c r="E149" s="237" t="str">
        <f>小5【S2】!$H$9</f>
        <v>国　語</v>
      </c>
      <c r="F149" s="238" t="str">
        <f>小5【S2】!$I$9</f>
        <v>単文・複文・重文</v>
      </c>
      <c r="G149" s="238" t="str">
        <f>小5【S2】!$J$9</f>
        <v>現</v>
      </c>
      <c r="H149" s="245"/>
    </row>
    <row r="150" spans="1:20" ht="24.95" customHeight="1" x14ac:dyDescent="0.15">
      <c r="A150" s="239">
        <f>小5【S2】!$A$5</f>
        <v>2</v>
      </c>
      <c r="B150" s="240" t="str">
        <f>小5【S2】!$E$10</f>
        <v>算　数</v>
      </c>
      <c r="C150" s="241" t="str">
        <f>小5【S2】!$F$10</f>
        <v>変わり方</v>
      </c>
      <c r="D150" s="241" t="str">
        <f>小5【S2】!$G$10</f>
        <v>現</v>
      </c>
      <c r="E150" s="240" t="str">
        <f>小5【S2】!$H$10</f>
        <v>音　楽</v>
      </c>
      <c r="F150" s="241" t="str">
        <f>小5【S2】!$I$10</f>
        <v>学習用具・教科用語</v>
      </c>
      <c r="G150" s="241" t="str">
        <f>小5【S2】!$J$10</f>
        <v>現</v>
      </c>
      <c r="H150" s="245"/>
    </row>
    <row r="151" spans="1:20" ht="24.95" customHeight="1" x14ac:dyDescent="0.15">
      <c r="A151" s="239">
        <f>小5【S2】!$A$6</f>
        <v>3</v>
      </c>
      <c r="B151" s="240" t="str">
        <f>小5【S2】!$E$11</f>
        <v>国　語</v>
      </c>
      <c r="C151" s="241" t="str">
        <f>小5【S2】!$F$11</f>
        <v>文・文節（4年）</v>
      </c>
      <c r="D151" s="241" t="str">
        <f>小5【S2】!$G$11</f>
        <v>ス</v>
      </c>
      <c r="E151" s="240" t="str">
        <f>小5【S2】!$H$11</f>
        <v>国　語</v>
      </c>
      <c r="F151" s="241" t="str">
        <f>小5【S2】!$I$11</f>
        <v>主語と述語（2年）</v>
      </c>
      <c r="G151" s="241" t="str">
        <f>小5【S2】!$J$11</f>
        <v>ス</v>
      </c>
      <c r="H151" s="245"/>
    </row>
    <row r="152" spans="1:20" ht="24.95" customHeight="1" x14ac:dyDescent="0.15">
      <c r="A152" s="239">
        <f>小5【S2】!$A$7</f>
        <v>4</v>
      </c>
      <c r="B152" s="240" t="str">
        <f>小5【S2】!$E$12</f>
        <v>算　数</v>
      </c>
      <c r="C152" s="241" t="str">
        <f>小5【S2】!$F$12</f>
        <v>□をつかった式 （小3）</v>
      </c>
      <c r="D152" s="241" t="str">
        <f>小5【S2】!$G$12</f>
        <v>ス</v>
      </c>
      <c r="E152" s="240" t="str">
        <f>小5【S2】!$H$12</f>
        <v>日本語</v>
      </c>
      <c r="F152" s="241" t="str">
        <f>小5【S2】!$I$12</f>
        <v>学校生活</v>
      </c>
      <c r="G152" s="241" t="str">
        <f>小5【S2】!$J$12</f>
        <v>ス</v>
      </c>
      <c r="H152" s="245"/>
    </row>
    <row r="153" spans="1:20" ht="24.95" customHeight="1" x14ac:dyDescent="0.15">
      <c r="A153" s="242"/>
      <c r="B153" s="247"/>
      <c r="C153" s="248"/>
      <c r="D153" s="248"/>
      <c r="E153" s="247"/>
      <c r="F153" s="248"/>
      <c r="G153" s="248"/>
      <c r="H153" s="249"/>
      <c r="I153" s="250"/>
      <c r="J153" s="250"/>
      <c r="K153" s="249"/>
      <c r="L153" s="251"/>
      <c r="M153" s="251"/>
      <c r="N153" s="249"/>
      <c r="O153" s="251"/>
      <c r="P153" s="251"/>
      <c r="Q153" s="229"/>
      <c r="R153" s="208"/>
      <c r="S153" s="208"/>
    </row>
    <row r="154" spans="1:20" ht="24.95" customHeight="1" x14ac:dyDescent="0.15">
      <c r="A154" s="228"/>
      <c r="B154" s="229"/>
      <c r="C154" s="270" t="str">
        <f>小5【S3】!$C$2</f>
        <v>小5　3月　【S3】　指導ユニット　モジュール（現学年・ステップ）配当計画</v>
      </c>
      <c r="D154" s="271"/>
      <c r="E154" s="271"/>
      <c r="F154" s="271"/>
      <c r="G154" s="272"/>
      <c r="H154" s="272"/>
      <c r="I154" s="272"/>
      <c r="J154" s="272"/>
      <c r="K154" s="272"/>
      <c r="L154" s="272"/>
      <c r="M154" s="273"/>
      <c r="N154" s="272"/>
      <c r="O154" s="208"/>
      <c r="P154" s="208"/>
      <c r="Q154" s="229"/>
      <c r="R154" s="208"/>
      <c r="S154" s="208"/>
    </row>
    <row r="155" spans="1:20" ht="24.95" customHeight="1" x14ac:dyDescent="0.15">
      <c r="A155" s="234" t="s">
        <v>191</v>
      </c>
      <c r="B155" s="274" t="s">
        <v>192</v>
      </c>
      <c r="C155" s="275"/>
      <c r="D155" s="276"/>
      <c r="E155" s="274" t="s">
        <v>193</v>
      </c>
      <c r="F155" s="275"/>
      <c r="G155" s="276"/>
      <c r="H155" s="274" t="s">
        <v>194</v>
      </c>
      <c r="I155" s="275"/>
      <c r="J155" s="276"/>
      <c r="K155" s="274" t="s">
        <v>195</v>
      </c>
      <c r="L155" s="275"/>
      <c r="M155" s="276"/>
      <c r="N155" s="274" t="s">
        <v>196</v>
      </c>
      <c r="O155" s="275"/>
      <c r="P155" s="276"/>
      <c r="Q155" s="274" t="s">
        <v>197</v>
      </c>
      <c r="R155" s="275"/>
      <c r="S155" s="276"/>
      <c r="T155" s="235"/>
    </row>
    <row r="156" spans="1:20" ht="24.95" customHeight="1" x14ac:dyDescent="0.15">
      <c r="A156" s="236">
        <f>小5【S3】!$A$4</f>
        <v>1</v>
      </c>
      <c r="B156" s="237" t="str">
        <f>小5【S3】!$B$4</f>
        <v>国　語</v>
      </c>
      <c r="C156" s="238" t="str">
        <f>小5【S3】!$C$4</f>
        <v>一まいの写真から</v>
      </c>
      <c r="D156" s="238" t="str">
        <f>小5【S3】!$D$4</f>
        <v>現</v>
      </c>
      <c r="E156" s="237" t="str">
        <f>小5【S3】!$E$4</f>
        <v>国　語</v>
      </c>
      <c r="F156" s="238" t="str">
        <f>小5【S3】!$F$4</f>
        <v>一まいの写真から</v>
      </c>
      <c r="G156" s="238" t="str">
        <f>小5【S3】!$G$4</f>
        <v>現</v>
      </c>
      <c r="H156" s="237" t="str">
        <f>小5【S3】!$H$4</f>
        <v>国　語</v>
      </c>
      <c r="I156" s="238" t="str">
        <f>小5【S3】!$I$4</f>
        <v>漢字の広場⑥</v>
      </c>
      <c r="J156" s="238" t="str">
        <f>小5【S3】!$J$4</f>
        <v>現</v>
      </c>
      <c r="K156" s="237" t="str">
        <f>小5【S3】!$K$4</f>
        <v>国　語</v>
      </c>
      <c r="L156" s="238" t="str">
        <f>小5【S3】!$L$4</f>
        <v>六年生になったら</v>
      </c>
      <c r="M156" s="238" t="str">
        <f>小5【S3】!$M$4</f>
        <v>現</v>
      </c>
      <c r="N156" s="237" t="str">
        <f>小5【S3】!$N$4</f>
        <v>算　数</v>
      </c>
      <c r="O156" s="238" t="str">
        <f>小5【S3】!$O$4</f>
        <v>変わり方</v>
      </c>
      <c r="P156" s="238" t="str">
        <f>小5【S3】!$P$4</f>
        <v>現</v>
      </c>
      <c r="Q156" s="237" t="str">
        <f>小5【S3】!$B$9</f>
        <v>国　語</v>
      </c>
      <c r="R156" s="238" t="str">
        <f>小5【S3】!$C$9</f>
        <v>単文・複文・重文</v>
      </c>
      <c r="S156" s="238" t="str">
        <f>小5【S3】!$D$9</f>
        <v>現</v>
      </c>
      <c r="T156" s="235"/>
    </row>
    <row r="157" spans="1:20" ht="24.95" customHeight="1" x14ac:dyDescent="0.15">
      <c r="A157" s="239">
        <f>小5【S3】!$A$5</f>
        <v>2</v>
      </c>
      <c r="B157" s="240" t="str">
        <f>小5【S3】!$B$5</f>
        <v>社　会</v>
      </c>
      <c r="C157" s="241" t="str">
        <f>小5【S3】!$C$5</f>
        <v>世界とつながる日本</v>
      </c>
      <c r="D157" s="241" t="str">
        <f>小5【S3】!$D$5</f>
        <v>現</v>
      </c>
      <c r="E157" s="240" t="str">
        <f>小5【S3】!$E$5</f>
        <v>算　数</v>
      </c>
      <c r="F157" s="241" t="str">
        <f>小5【S3】!$F$5</f>
        <v>円と正多角形</v>
      </c>
      <c r="G157" s="241" t="str">
        <f>小5【S3】!$G$5</f>
        <v>現</v>
      </c>
      <c r="H157" s="240" t="str">
        <f>小5【S3】!$H$5</f>
        <v>算　数</v>
      </c>
      <c r="I157" s="241" t="str">
        <f>小5【S3】!$I$5</f>
        <v>角柱と円柱</v>
      </c>
      <c r="J157" s="241" t="str">
        <f>小5【S3】!$J$5</f>
        <v>現</v>
      </c>
      <c r="K157" s="240" t="str">
        <f>小5【S3】!$K$5</f>
        <v>国　語</v>
      </c>
      <c r="L157" s="241" t="str">
        <f>小5【S3】!$L$5</f>
        <v>単文・複文・重文</v>
      </c>
      <c r="M157" s="241" t="str">
        <f>小5【S3】!$M$5</f>
        <v>現</v>
      </c>
      <c r="N157" s="240" t="str">
        <f>小5【S3】!$N$5</f>
        <v>日本語</v>
      </c>
      <c r="O157" s="241" t="str">
        <f>小5【S3】!$O$5</f>
        <v>日本の文化</v>
      </c>
      <c r="P157" s="241" t="str">
        <f>小5【S3】!$P$5</f>
        <v>ス</v>
      </c>
      <c r="Q157" s="240" t="str">
        <f>小5【S3】!$B$10</f>
        <v>図　工</v>
      </c>
      <c r="R157" s="241" t="str">
        <f>小5【S3】!$C$10</f>
        <v>学習用具・教科用語</v>
      </c>
      <c r="S157" s="241" t="str">
        <f>小5【S3】!$D$10</f>
        <v>現</v>
      </c>
      <c r="T157" s="235"/>
    </row>
    <row r="158" spans="1:20" ht="24.95" customHeight="1" x14ac:dyDescent="0.15">
      <c r="A158" s="239">
        <f>小5【S3】!$A$6</f>
        <v>3</v>
      </c>
      <c r="B158" s="240" t="str">
        <f>小5【S3】!$B$6</f>
        <v>算　数</v>
      </c>
      <c r="C158" s="241" t="str">
        <f>小5【S3】!$C$6</f>
        <v>円と正多角形</v>
      </c>
      <c r="D158" s="241" t="str">
        <f>小5【S3】!$D$6</f>
        <v>現</v>
      </c>
      <c r="E158" s="240" t="str">
        <f>小5【S3】!$E$6</f>
        <v>音　楽</v>
      </c>
      <c r="F158" s="241" t="str">
        <f>小5【S3】!$F$6</f>
        <v>学習用具・教科用語</v>
      </c>
      <c r="G158" s="241" t="str">
        <f>小5【S3】!$G$6</f>
        <v>現</v>
      </c>
      <c r="H158" s="240" t="str">
        <f>小5【S3】!$H$6</f>
        <v>理　科</v>
      </c>
      <c r="I158" s="241" t="str">
        <f>小5【S3】!$I$6</f>
        <v>ふりこの動き</v>
      </c>
      <c r="J158" s="241" t="str">
        <f>小5【S3】!$J$6</f>
        <v>現</v>
      </c>
      <c r="K158" s="240" t="str">
        <f>小5【S3】!$K$6</f>
        <v>算　数</v>
      </c>
      <c r="L158" s="241" t="str">
        <f>小5【S3】!$L$6</f>
        <v>直方体と立方体（小4）</v>
      </c>
      <c r="M158" s="241" t="str">
        <f>小5【S3】!$M$6</f>
        <v>ス</v>
      </c>
      <c r="N158" s="240" t="str">
        <f>小5【S3】!$N$6</f>
        <v>日本語</v>
      </c>
      <c r="O158" s="241" t="str">
        <f>小5【S3】!$O$6</f>
        <v>家庭生活</v>
      </c>
      <c r="P158" s="241" t="str">
        <f>小5【S3】!$P$6</f>
        <v>ス</v>
      </c>
      <c r="Q158" s="240" t="str">
        <f>小5【S3】!$B$11</f>
        <v>日本語</v>
      </c>
      <c r="R158" s="241" t="str">
        <f>小5【S3】!$C$11</f>
        <v>学校生活</v>
      </c>
      <c r="S158" s="241" t="str">
        <f>小5【S3】!$D$11</f>
        <v>ス</v>
      </c>
      <c r="T158" s="235"/>
    </row>
    <row r="159" spans="1:20" ht="24.95" customHeight="1" x14ac:dyDescent="0.15">
      <c r="A159" s="239">
        <f>小5【S3】!$A$7</f>
        <v>4</v>
      </c>
      <c r="B159" s="240" t="str">
        <f>小5【S3】!$B$7</f>
        <v>日本語</v>
      </c>
      <c r="C159" s="241" t="str">
        <f>小5【S3】!$C$7</f>
        <v>語彙</v>
      </c>
      <c r="D159" s="241" t="str">
        <f>小5【S3】!$D$7</f>
        <v>ス</v>
      </c>
      <c r="E159" s="240" t="str">
        <f>小5【S3】!$E$7</f>
        <v>社　会</v>
      </c>
      <c r="F159" s="241" t="str">
        <f>小5【S3】!$F$7</f>
        <v>学習用具・教科用語</v>
      </c>
      <c r="G159" s="241" t="str">
        <f>小5【S3】!$G$7</f>
        <v>ス</v>
      </c>
      <c r="H159" s="240" t="str">
        <f>小5【S3】!$H$7</f>
        <v>算　数</v>
      </c>
      <c r="I159" s="241" t="str">
        <f>小5【S3】!$I$7</f>
        <v>円と球（小3）</v>
      </c>
      <c r="J159" s="241" t="str">
        <f>小5【S3】!$J$7</f>
        <v>ス</v>
      </c>
      <c r="K159" s="240" t="str">
        <f>小5【S3】!$K$7</f>
        <v>日本語</v>
      </c>
      <c r="L159" s="241" t="str">
        <f>小5【S3】!$L$7</f>
        <v>日本語能力試験</v>
      </c>
      <c r="M159" s="241" t="str">
        <f>小5【S3】!$M$7</f>
        <v>ス</v>
      </c>
      <c r="N159" s="240" t="str">
        <f>小5【S3】!$N$7</f>
        <v>理　科</v>
      </c>
      <c r="O159" s="241" t="str">
        <f>小5【S3】!$O$7</f>
        <v>学習用具・教科用語</v>
      </c>
      <c r="P159" s="241" t="str">
        <f>小5【S3】!$P$7</f>
        <v>ス</v>
      </c>
      <c r="Q159" s="240" t="str">
        <f>小5【S3】!$B$12</f>
        <v>音　楽</v>
      </c>
      <c r="R159" s="241" t="str">
        <f>小5【S3】!$C$12</f>
        <v>学習用具・教科用語</v>
      </c>
      <c r="S159" s="241" t="str">
        <f>小5【S3】!$D$12</f>
        <v>ス</v>
      </c>
      <c r="T159" s="235"/>
    </row>
    <row r="160" spans="1:20" ht="24.95" customHeight="1" x14ac:dyDescent="0.15">
      <c r="A160" s="252"/>
      <c r="B160" s="253"/>
      <c r="C160" s="254"/>
      <c r="D160" s="254"/>
      <c r="E160" s="253"/>
      <c r="F160" s="254"/>
      <c r="G160" s="254"/>
      <c r="H160" s="253"/>
      <c r="I160" s="255"/>
      <c r="J160" s="255"/>
      <c r="K160" s="253"/>
      <c r="L160" s="254"/>
      <c r="M160" s="254"/>
      <c r="N160" s="253"/>
      <c r="O160" s="254"/>
      <c r="P160" s="254"/>
      <c r="Q160" s="253"/>
      <c r="R160" s="254"/>
      <c r="S160" s="254"/>
    </row>
    <row r="161" spans="1:20" ht="24.95" customHeight="1" x14ac:dyDescent="0.15">
      <c r="A161" s="228"/>
      <c r="B161" s="229"/>
      <c r="C161" s="270" t="str">
        <f>小5【S4】!$C$2</f>
        <v>小5　3月　【S4】　指導ユニット　モジュール（現学年・ステップ）配当計画</v>
      </c>
      <c r="D161" s="271"/>
      <c r="E161" s="271"/>
      <c r="F161" s="271"/>
      <c r="G161" s="272"/>
      <c r="H161" s="272"/>
      <c r="I161" s="272"/>
      <c r="J161" s="272"/>
      <c r="K161" s="272"/>
      <c r="L161" s="272"/>
      <c r="M161" s="273"/>
      <c r="N161" s="272"/>
      <c r="O161" s="208"/>
      <c r="P161" s="208"/>
      <c r="Q161" s="229"/>
      <c r="R161" s="208"/>
      <c r="S161" s="208"/>
    </row>
    <row r="162" spans="1:20" ht="24.95" customHeight="1" x14ac:dyDescent="0.15">
      <c r="A162" s="234" t="s">
        <v>191</v>
      </c>
      <c r="B162" s="274" t="s">
        <v>192</v>
      </c>
      <c r="C162" s="275"/>
      <c r="D162" s="276"/>
      <c r="E162" s="274" t="s">
        <v>193</v>
      </c>
      <c r="F162" s="275"/>
      <c r="G162" s="276"/>
      <c r="H162" s="274" t="s">
        <v>194</v>
      </c>
      <c r="I162" s="275"/>
      <c r="J162" s="276"/>
      <c r="K162" s="274" t="s">
        <v>195</v>
      </c>
      <c r="L162" s="275"/>
      <c r="M162" s="276"/>
      <c r="N162" s="245"/>
    </row>
    <row r="163" spans="1:20" ht="24.95" customHeight="1" x14ac:dyDescent="0.15">
      <c r="A163" s="236">
        <f>小5【S4】!$A$4</f>
        <v>1</v>
      </c>
      <c r="B163" s="237" t="str">
        <f>小5【S4】!$B$4</f>
        <v>国　語</v>
      </c>
      <c r="C163" s="238" t="str">
        <f>小5【S4】!$C$4</f>
        <v>一まいの写真から</v>
      </c>
      <c r="D163" s="238" t="str">
        <f>小5【S4】!$D$4</f>
        <v>現</v>
      </c>
      <c r="E163" s="237" t="str">
        <f>小5【S4】!$E$4</f>
        <v>国　語</v>
      </c>
      <c r="F163" s="238" t="str">
        <f>小5【S4】!$F$4</f>
        <v>一まいの写真から</v>
      </c>
      <c r="G163" s="238" t="str">
        <f>小5【S4】!$G$4</f>
        <v>現</v>
      </c>
      <c r="H163" s="237" t="str">
        <f>小5【S4】!$H$4</f>
        <v>国　語</v>
      </c>
      <c r="I163" s="238" t="str">
        <f>小5【S4】!$I$4</f>
        <v>漢字の広場⑥</v>
      </c>
      <c r="J163" s="238" t="str">
        <f>小5【S4】!$J$4</f>
        <v>現</v>
      </c>
      <c r="K163" s="237" t="str">
        <f>小5【S4】!$K$4</f>
        <v>国　語</v>
      </c>
      <c r="L163" s="238" t="str">
        <f>小5【S4】!$L$4</f>
        <v>六年生になったら</v>
      </c>
      <c r="M163" s="238" t="str">
        <f>小5【S4】!$M$4</f>
        <v>現</v>
      </c>
      <c r="N163" s="245"/>
    </row>
    <row r="164" spans="1:20" ht="24.95" customHeight="1" x14ac:dyDescent="0.15">
      <c r="A164" s="239">
        <f>小5【S4】!$A$5</f>
        <v>2</v>
      </c>
      <c r="B164" s="240" t="str">
        <f>小5【S4】!$B$5</f>
        <v>社　会</v>
      </c>
      <c r="C164" s="241" t="str">
        <f>小5【S4】!$C$5</f>
        <v>世界とつながる日本</v>
      </c>
      <c r="D164" s="241" t="str">
        <f>小5【S4】!$D$5</f>
        <v>現</v>
      </c>
      <c r="E164" s="240" t="str">
        <f>小5【S4】!$E$5</f>
        <v>算　数</v>
      </c>
      <c r="F164" s="241" t="str">
        <f>小5【S4】!$F$5</f>
        <v>角柱と円柱</v>
      </c>
      <c r="G164" s="241" t="str">
        <f>小5【S4】!$G$5</f>
        <v>現</v>
      </c>
      <c r="H164" s="240" t="str">
        <f>小5【S4】!$H$5</f>
        <v>算　数</v>
      </c>
      <c r="I164" s="241" t="str">
        <f>小5【S4】!$I$5</f>
        <v>変わり方</v>
      </c>
      <c r="J164" s="241" t="str">
        <f>小5【S4】!$J$5</f>
        <v>現</v>
      </c>
      <c r="K164" s="240" t="str">
        <f>小5【S4】!$K$5</f>
        <v>国　語</v>
      </c>
      <c r="L164" s="241" t="str">
        <f>小5【S4】!$L$5</f>
        <v>単文・複文・重文</v>
      </c>
      <c r="M164" s="241" t="str">
        <f>小5【S4】!$M$5</f>
        <v>現</v>
      </c>
      <c r="N164" s="245"/>
    </row>
    <row r="165" spans="1:20" ht="24.95" customHeight="1" x14ac:dyDescent="0.15">
      <c r="A165" s="239">
        <f>小5【S4】!$A$6</f>
        <v>3</v>
      </c>
      <c r="B165" s="240" t="str">
        <f>小5【S4】!$B$6</f>
        <v>算　数</v>
      </c>
      <c r="C165" s="241" t="str">
        <f>小5【S4】!$C$6</f>
        <v>円と正多角形</v>
      </c>
      <c r="D165" s="241" t="str">
        <f>小5【S4】!$D$6</f>
        <v>現</v>
      </c>
      <c r="E165" s="240" t="str">
        <f>小5【S4】!$E$6</f>
        <v>音　楽</v>
      </c>
      <c r="F165" s="241" t="str">
        <f>小5【S4】!$F$6</f>
        <v>学習用具・教科用語</v>
      </c>
      <c r="G165" s="241" t="str">
        <f>小5【S4】!$G$6</f>
        <v>現</v>
      </c>
      <c r="H165" s="240" t="str">
        <f>小5【S4】!$H$6</f>
        <v>理　科</v>
      </c>
      <c r="I165" s="241" t="str">
        <f>小5【S4】!$I$6</f>
        <v>ふりこの動き</v>
      </c>
      <c r="J165" s="241" t="str">
        <f>小5【S4】!$J$6</f>
        <v>現</v>
      </c>
      <c r="K165" s="240" t="str">
        <f>小5【S4】!$K$6</f>
        <v>理　科</v>
      </c>
      <c r="L165" s="241" t="str">
        <f>小5【S4】!$L$6</f>
        <v>ふりこの動き</v>
      </c>
      <c r="M165" s="241" t="str">
        <f>小5【S4】!$M$6</f>
        <v>現</v>
      </c>
      <c r="N165" s="245"/>
    </row>
    <row r="166" spans="1:20" ht="24.95" customHeight="1" x14ac:dyDescent="0.15">
      <c r="A166" s="239">
        <f>小5【S4】!$A$7</f>
        <v>4</v>
      </c>
      <c r="B166" s="240" t="str">
        <f>小5【S4】!$B$7</f>
        <v>日本語</v>
      </c>
      <c r="C166" s="241" t="str">
        <f>小5【S4】!$C$7</f>
        <v>語彙</v>
      </c>
      <c r="D166" s="241" t="str">
        <f>小5【S4】!$D$7</f>
        <v>ス</v>
      </c>
      <c r="E166" s="240" t="str">
        <f>小5【S4】!$E$7</f>
        <v>社　会</v>
      </c>
      <c r="F166" s="241" t="str">
        <f>小5【S4】!$F$7</f>
        <v>学習用具・教科用語</v>
      </c>
      <c r="G166" s="241" t="str">
        <f>小5【S4】!$G$7</f>
        <v>ス</v>
      </c>
      <c r="H166" s="240" t="str">
        <f>小5【S4】!$H$7</f>
        <v>算　数</v>
      </c>
      <c r="I166" s="241" t="str">
        <f>小5【S4】!$I$7</f>
        <v>直方体と立方体（小4）</v>
      </c>
      <c r="J166" s="241" t="str">
        <f>小5【S4】!$J$7</f>
        <v>ス</v>
      </c>
      <c r="K166" s="240" t="str">
        <f>小5【S4】!$K$7</f>
        <v>日本語</v>
      </c>
      <c r="L166" s="241" t="str">
        <f>小5【S4】!$L$7</f>
        <v>日本語能力試験</v>
      </c>
      <c r="M166" s="241" t="str">
        <f>小5【S4】!$M$7</f>
        <v>ス</v>
      </c>
      <c r="N166" s="245"/>
    </row>
    <row r="167" spans="1:20" ht="24.95" customHeight="1" x14ac:dyDescent="0.15">
      <c r="A167" s="242"/>
      <c r="B167" s="247"/>
      <c r="C167" s="248"/>
      <c r="D167" s="248"/>
      <c r="E167" s="247"/>
      <c r="F167" s="248"/>
      <c r="G167" s="248"/>
      <c r="H167" s="253"/>
      <c r="I167" s="254"/>
      <c r="J167" s="254"/>
      <c r="K167" s="253"/>
      <c r="L167" s="254"/>
      <c r="M167" s="254"/>
      <c r="N167" s="229"/>
      <c r="O167" s="208"/>
      <c r="P167" s="208"/>
      <c r="Q167" s="229"/>
      <c r="R167" s="208"/>
      <c r="S167" s="208"/>
    </row>
    <row r="168" spans="1:20" ht="24.95" customHeight="1" x14ac:dyDescent="0.15">
      <c r="A168" s="228"/>
      <c r="B168" s="229"/>
      <c r="C168" s="208"/>
      <c r="D168" s="208"/>
      <c r="E168" s="229"/>
      <c r="F168" s="208"/>
      <c r="G168" s="208"/>
      <c r="H168" s="229"/>
      <c r="I168" s="208"/>
      <c r="J168" s="208"/>
      <c r="K168" s="229"/>
      <c r="L168" s="208"/>
      <c r="M168" s="208"/>
      <c r="N168" s="229"/>
      <c r="O168" s="208"/>
      <c r="P168" s="208"/>
      <c r="Q168" s="229"/>
      <c r="R168" s="208"/>
      <c r="S168" s="208"/>
    </row>
    <row r="169" spans="1:20" ht="24.95" customHeight="1" x14ac:dyDescent="0.15">
      <c r="A169" s="228"/>
      <c r="B169" s="230"/>
      <c r="C169" s="270" t="str">
        <f>小6【S2】!$C$2</f>
        <v>小6　3月　【S2】　指導ユニット　モジュール（現学年・ステップ）配当計画</v>
      </c>
      <c r="D169" s="271"/>
      <c r="E169" s="271"/>
      <c r="F169" s="271"/>
      <c r="G169" s="272"/>
      <c r="H169" s="272"/>
      <c r="I169" s="272"/>
      <c r="J169" s="272"/>
      <c r="K169" s="272"/>
      <c r="L169" s="272"/>
      <c r="M169" s="273"/>
      <c r="N169" s="272"/>
      <c r="O169" s="208"/>
      <c r="P169" s="233"/>
      <c r="Q169" s="229"/>
      <c r="R169" s="208"/>
      <c r="S169" s="208"/>
    </row>
    <row r="170" spans="1:20" ht="24.95" customHeight="1" x14ac:dyDescent="0.15">
      <c r="A170" s="234" t="s">
        <v>191</v>
      </c>
      <c r="B170" s="274" t="s">
        <v>192</v>
      </c>
      <c r="C170" s="275"/>
      <c r="D170" s="276"/>
      <c r="E170" s="274" t="s">
        <v>193</v>
      </c>
      <c r="F170" s="275"/>
      <c r="G170" s="276"/>
      <c r="H170" s="274" t="s">
        <v>194</v>
      </c>
      <c r="I170" s="275"/>
      <c r="J170" s="276"/>
      <c r="K170" s="274" t="s">
        <v>195</v>
      </c>
      <c r="L170" s="275"/>
      <c r="M170" s="276"/>
      <c r="N170" s="274" t="s">
        <v>196</v>
      </c>
      <c r="O170" s="275"/>
      <c r="P170" s="276"/>
      <c r="Q170" s="274" t="s">
        <v>197</v>
      </c>
      <c r="R170" s="275"/>
      <c r="S170" s="276"/>
      <c r="T170" s="235"/>
    </row>
    <row r="171" spans="1:20" ht="24.95" customHeight="1" x14ac:dyDescent="0.15">
      <c r="A171" s="236">
        <f>小6【S2】!$A$4</f>
        <v>1</v>
      </c>
      <c r="B171" s="237" t="str">
        <f>小6【S2】!$B$4</f>
        <v>国　語</v>
      </c>
      <c r="C171" s="238" t="str">
        <f>小6【S2】!$C$4</f>
        <v>生きる</v>
      </c>
      <c r="D171" s="238" t="str">
        <f>小6【S2】!$D$4</f>
        <v>現</v>
      </c>
      <c r="E171" s="237" t="str">
        <f>小6【S2】!$E$4</f>
        <v>国　語</v>
      </c>
      <c r="F171" s="238" t="str">
        <f>小6【S2】!$F$4</f>
        <v>生きる</v>
      </c>
      <c r="G171" s="238" t="str">
        <f>小6【S2】!$G$4</f>
        <v>現</v>
      </c>
      <c r="H171" s="237" t="str">
        <f>小6【S2】!$H$4</f>
        <v>国　語</v>
      </c>
      <c r="I171" s="238" t="str">
        <f>小6【S2】!$I$4</f>
        <v>生きる</v>
      </c>
      <c r="J171" s="238" t="str">
        <f>小6【S2】!$J$4</f>
        <v>現</v>
      </c>
      <c r="K171" s="237" t="str">
        <f>小6【S2】!$K$4</f>
        <v>国　語</v>
      </c>
      <c r="L171" s="238" t="str">
        <f>小6【S2】!$L$4</f>
        <v>生き物は かなえられた</v>
      </c>
      <c r="M171" s="238" t="str">
        <f>小6【S2】!$M$4</f>
        <v>現</v>
      </c>
      <c r="N171" s="237" t="str">
        <f>小6【S2】!$N$4</f>
        <v>理　科</v>
      </c>
      <c r="O171" s="238" t="str">
        <f>小6【S2】!$O$4</f>
        <v>生物と地球環境</v>
      </c>
      <c r="P171" s="238" t="str">
        <f>小6【S2】!$P$4</f>
        <v>現</v>
      </c>
      <c r="Q171" s="237" t="str">
        <f>小6【S2】!$B$9</f>
        <v>国　語</v>
      </c>
      <c r="R171" s="238" t="str">
        <f>小6【S2】!$C$9</f>
        <v>生き物は かなえられた</v>
      </c>
      <c r="S171" s="238" t="str">
        <f>小6【S2】!$D$9</f>
        <v>現</v>
      </c>
      <c r="T171" s="235"/>
    </row>
    <row r="172" spans="1:20" ht="24.95" customHeight="1" x14ac:dyDescent="0.15">
      <c r="A172" s="239">
        <f>小6【S2】!$A$5</f>
        <v>2</v>
      </c>
      <c r="B172" s="240" t="str">
        <f>小6【S2】!$B$5</f>
        <v>算　数</v>
      </c>
      <c r="C172" s="241" t="str">
        <f>小6【S2】!$C$5</f>
        <v>6年のまとめ</v>
      </c>
      <c r="D172" s="241" t="str">
        <f>小6【S2】!$D$5</f>
        <v>現</v>
      </c>
      <c r="E172" s="240" t="str">
        <f>小6【S2】!$E$5</f>
        <v>社　会</v>
      </c>
      <c r="F172" s="241" t="str">
        <f>小6【S2】!$F$5</f>
        <v>世界の未来と日本の役割</v>
      </c>
      <c r="G172" s="241" t="str">
        <f>小6【S2】!$G$5</f>
        <v>現</v>
      </c>
      <c r="H172" s="240" t="str">
        <f>小6【S2】!$H$5</f>
        <v>算　数</v>
      </c>
      <c r="I172" s="241" t="str">
        <f>小6【S2】!$I$5</f>
        <v>6年のまとめ</v>
      </c>
      <c r="J172" s="241" t="str">
        <f>小6【S2】!$J$5</f>
        <v>現</v>
      </c>
      <c r="K172" s="240" t="str">
        <f>小6【S2】!$K$5</f>
        <v>日本語</v>
      </c>
      <c r="L172" s="241" t="str">
        <f>小6【S2】!$L$5</f>
        <v>日本の文化</v>
      </c>
      <c r="M172" s="241" t="str">
        <f>小6【S2】!$M$5</f>
        <v>ス</v>
      </c>
      <c r="N172" s="240" t="str">
        <f>小6【S2】!$N$5</f>
        <v>日本語</v>
      </c>
      <c r="O172" s="241" t="str">
        <f>小6【S2】!$O$5</f>
        <v>語彙</v>
      </c>
      <c r="P172" s="241" t="str">
        <f>小6【S2】!$P$5</f>
        <v>ス</v>
      </c>
      <c r="Q172" s="240" t="str">
        <f>小6【S2】!$B$10</f>
        <v>国　語</v>
      </c>
      <c r="R172" s="241" t="str">
        <f>小6【S2】!$C$10</f>
        <v>様子を表す言葉（小2）</v>
      </c>
      <c r="S172" s="241" t="str">
        <f>小6【S2】!$D$10</f>
        <v>ス</v>
      </c>
      <c r="T172" s="235"/>
    </row>
    <row r="173" spans="1:20" ht="24.95" customHeight="1" x14ac:dyDescent="0.15">
      <c r="A173" s="239">
        <f>小6【S2】!$A$6</f>
        <v>3</v>
      </c>
      <c r="B173" s="240" t="str">
        <f>小6【S2】!$B$6</f>
        <v>社　会</v>
      </c>
      <c r="C173" s="241" t="str">
        <f>小6【S2】!$C$6</f>
        <v>学習用具・教科用語</v>
      </c>
      <c r="D173" s="241" t="str">
        <f>小6【S2】!$D$6</f>
        <v>ス</v>
      </c>
      <c r="E173" s="240" t="str">
        <f>小6【S2】!$E$6</f>
        <v>日本語</v>
      </c>
      <c r="F173" s="241" t="str">
        <f>小6【S2】!$F$6</f>
        <v>学校生活</v>
      </c>
      <c r="G173" s="241" t="str">
        <f>小6【S2】!$G$6</f>
        <v>ス</v>
      </c>
      <c r="H173" s="240" t="str">
        <f>小6【S2】!$H$6</f>
        <v>日本語</v>
      </c>
      <c r="I173" s="241" t="str">
        <f>小6【S2】!$I$6</f>
        <v>日本語能力試験</v>
      </c>
      <c r="J173" s="241" t="str">
        <f>小6【S2】!$J$6</f>
        <v>ス</v>
      </c>
      <c r="K173" s="240" t="str">
        <f>小6【S2】!$K$6</f>
        <v>日本語</v>
      </c>
      <c r="L173" s="241" t="str">
        <f>小6【S2】!$L$6</f>
        <v>家庭生活</v>
      </c>
      <c r="M173" s="241" t="str">
        <f>小6【S2】!$M$6</f>
        <v>ス</v>
      </c>
      <c r="N173" s="240" t="str">
        <f>小6【S2】!$N$6</f>
        <v>国　語</v>
      </c>
      <c r="O173" s="241" t="str">
        <f>小6【S2】!$O$6</f>
        <v>形よう詞（小4）</v>
      </c>
      <c r="P173" s="241" t="str">
        <f>小6【S2】!$P$6</f>
        <v>ス</v>
      </c>
      <c r="Q173" s="240" t="str">
        <f>小6【S2】!$B$11</f>
        <v>図　工</v>
      </c>
      <c r="R173" s="241" t="str">
        <f>小6【S2】!$C$11</f>
        <v>学習用具・教科用語</v>
      </c>
      <c r="S173" s="241" t="str">
        <f>小6【S2】!$D$11</f>
        <v>ス</v>
      </c>
      <c r="T173" s="235"/>
    </row>
    <row r="174" spans="1:20" ht="24.95" customHeight="1" x14ac:dyDescent="0.15">
      <c r="A174" s="239">
        <f>小6【S2】!$A$7</f>
        <v>4</v>
      </c>
      <c r="B174" s="240" t="str">
        <f>小6【S2】!$B$7</f>
        <v>算　数</v>
      </c>
      <c r="C174" s="241" t="str">
        <f>小6【S2】!$C$7</f>
        <v>数と量</v>
      </c>
      <c r="D174" s="241" t="str">
        <f>小6【S2】!$D$7</f>
        <v>ス</v>
      </c>
      <c r="E174" s="240" t="str">
        <f>小6【S2】!$E$7</f>
        <v>日本語</v>
      </c>
      <c r="F174" s="241" t="str">
        <f>小6【S2】!$F$7</f>
        <v>語彙</v>
      </c>
      <c r="G174" s="241" t="str">
        <f>小6【S2】!$G$7</f>
        <v>ス</v>
      </c>
      <c r="H174" s="240" t="str">
        <f>小6【S2】!$H$7</f>
        <v>算　数</v>
      </c>
      <c r="I174" s="241" t="str">
        <f>小6【S2】!$I$7</f>
        <v>計算と見積もり</v>
      </c>
      <c r="J174" s="241" t="str">
        <f>小6【S2】!$J$7</f>
        <v>ス</v>
      </c>
      <c r="K174" s="240" t="str">
        <f>小6【S2】!$K$7</f>
        <v>算　数</v>
      </c>
      <c r="L174" s="241" t="str">
        <f>小6【S2】!$L$7</f>
        <v>図形</v>
      </c>
      <c r="M174" s="241" t="str">
        <f>小6【S2】!$M$7</f>
        <v>ス</v>
      </c>
      <c r="N174" s="240" t="str">
        <f>小6【S2】!$N$7</f>
        <v>理　科</v>
      </c>
      <c r="O174" s="241" t="str">
        <f>小6【S2】!$O$7</f>
        <v>学習用具・教科用語</v>
      </c>
      <c r="P174" s="241" t="str">
        <f>小6【S2】!$P$7</f>
        <v>ス</v>
      </c>
      <c r="Q174" s="240" t="str">
        <f>小6【S2】!$B$12</f>
        <v>体　育</v>
      </c>
      <c r="R174" s="241" t="str">
        <f>小6【S2】!$C$12</f>
        <v>学習用具・教科用語</v>
      </c>
      <c r="S174" s="241" t="str">
        <f>小6【S2】!$D$12</f>
        <v>ス</v>
      </c>
      <c r="T174" s="235"/>
    </row>
    <row r="175" spans="1:20" ht="24.95" customHeight="1" x14ac:dyDescent="0.15">
      <c r="A175" s="242"/>
      <c r="B175" s="274" t="s">
        <v>198</v>
      </c>
      <c r="C175" s="275"/>
      <c r="D175" s="276"/>
      <c r="E175" s="274" t="s">
        <v>199</v>
      </c>
      <c r="F175" s="275"/>
      <c r="G175" s="276"/>
      <c r="H175" s="243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</row>
    <row r="176" spans="1:20" ht="24.95" customHeight="1" x14ac:dyDescent="0.15">
      <c r="A176" s="236">
        <f>小6【S2】!$A$4</f>
        <v>1</v>
      </c>
      <c r="B176" s="237" t="str">
        <f>小6【S2】!$E$9</f>
        <v>国　語</v>
      </c>
      <c r="C176" s="238" t="str">
        <f>小6【S2】!$F$9</f>
        <v>言葉の種類（形容詞・形容動詞）</v>
      </c>
      <c r="D176" s="238" t="str">
        <f>小6【S2】!$G$9</f>
        <v>現</v>
      </c>
      <c r="E176" s="237" t="str">
        <f>小6【S2】!$H$9</f>
        <v>算　数</v>
      </c>
      <c r="F176" s="238" t="str">
        <f>小6【S2】!$I$9</f>
        <v>6年のまとめ</v>
      </c>
      <c r="G176" s="238" t="str">
        <f>小6【S2】!$J$9</f>
        <v>現</v>
      </c>
      <c r="H176" s="245"/>
    </row>
    <row r="177" spans="1:20" ht="24.95" customHeight="1" x14ac:dyDescent="0.15">
      <c r="A177" s="239">
        <f>小6【S2】!$A$5</f>
        <v>2</v>
      </c>
      <c r="B177" s="240" t="str">
        <f>小6【S2】!$E$10</f>
        <v>国　語</v>
      </c>
      <c r="C177" s="241" t="str">
        <f>小6【S2】!$F$10</f>
        <v>言葉の種類（形容詞・形容動詞）</v>
      </c>
      <c r="D177" s="241" t="str">
        <f>小6【S2】!$G$10</f>
        <v>現</v>
      </c>
      <c r="E177" s="240" t="str">
        <f>小6【S2】!$H$10</f>
        <v>音　楽</v>
      </c>
      <c r="F177" s="241" t="str">
        <f>小6【S2】!$I$10</f>
        <v>学習用具・教科用語</v>
      </c>
      <c r="G177" s="241" t="str">
        <f>小6【S2】!$J$10</f>
        <v>現</v>
      </c>
      <c r="H177" s="245"/>
    </row>
    <row r="178" spans="1:20" ht="24.95" customHeight="1" x14ac:dyDescent="0.15">
      <c r="A178" s="239">
        <f>小6【S2】!$A$6</f>
        <v>3</v>
      </c>
      <c r="B178" s="240" t="str">
        <f>小6【S2】!$E$11</f>
        <v>社　会</v>
      </c>
      <c r="C178" s="241" t="str">
        <f>小6【S2】!$F$11</f>
        <v>学習用具・教科用語</v>
      </c>
      <c r="D178" s="241" t="str">
        <f>小6【S2】!$G$11</f>
        <v>ス</v>
      </c>
      <c r="E178" s="240" t="str">
        <f>小6【S2】!$H$11</f>
        <v>日本語</v>
      </c>
      <c r="F178" s="241" t="str">
        <f>小6【S2】!$I$11</f>
        <v>語彙</v>
      </c>
      <c r="G178" s="241" t="str">
        <f>小6【S2】!$J$11</f>
        <v>ス</v>
      </c>
      <c r="H178" s="245"/>
    </row>
    <row r="179" spans="1:20" ht="24.95" customHeight="1" x14ac:dyDescent="0.15">
      <c r="A179" s="239">
        <f>小6【S2】!$A$7</f>
        <v>4</v>
      </c>
      <c r="B179" s="240" t="str">
        <f>小6【S2】!$E$12</f>
        <v>算　数</v>
      </c>
      <c r="C179" s="241" t="str">
        <f>小6【S2】!$F$12</f>
        <v>数量の関係</v>
      </c>
      <c r="D179" s="241" t="str">
        <f>小6【S2】!$G$12</f>
        <v>ス</v>
      </c>
      <c r="E179" s="240" t="str">
        <f>小6【S2】!$H$12</f>
        <v>算　数</v>
      </c>
      <c r="F179" s="241" t="str">
        <f>小6【S2】!$I$12</f>
        <v>問題の見方・考え方</v>
      </c>
      <c r="G179" s="241" t="str">
        <f>小6【S2】!$J$12</f>
        <v>ス</v>
      </c>
      <c r="H179" s="245"/>
    </row>
    <row r="180" spans="1:20" ht="24.95" customHeight="1" x14ac:dyDescent="0.15">
      <c r="A180" s="242"/>
      <c r="B180" s="247"/>
      <c r="C180" s="248"/>
      <c r="D180" s="248"/>
      <c r="E180" s="247"/>
      <c r="F180" s="248"/>
      <c r="G180" s="248"/>
      <c r="H180" s="249"/>
      <c r="I180" s="250"/>
      <c r="J180" s="250"/>
      <c r="K180" s="249"/>
      <c r="L180" s="251"/>
      <c r="M180" s="251"/>
      <c r="N180" s="249"/>
      <c r="O180" s="251"/>
      <c r="P180" s="251"/>
      <c r="Q180" s="229"/>
      <c r="R180" s="208"/>
      <c r="S180" s="208"/>
    </row>
    <row r="181" spans="1:20" ht="24.95" customHeight="1" x14ac:dyDescent="0.15">
      <c r="A181" s="228"/>
      <c r="B181" s="229"/>
      <c r="C181" s="270" t="str">
        <f>小6【S3】!$C$2</f>
        <v>小6　3月　【S3】　指導ユニット　モジュール（現学年・ステップ）配当計画</v>
      </c>
      <c r="D181" s="271"/>
      <c r="E181" s="271"/>
      <c r="F181" s="271"/>
      <c r="G181" s="272"/>
      <c r="H181" s="272"/>
      <c r="I181" s="272"/>
      <c r="J181" s="272"/>
      <c r="K181" s="272"/>
      <c r="L181" s="272"/>
      <c r="M181" s="273"/>
      <c r="N181" s="272"/>
      <c r="O181" s="208"/>
      <c r="P181" s="208"/>
      <c r="Q181" s="229"/>
      <c r="R181" s="208"/>
      <c r="S181" s="208"/>
    </row>
    <row r="182" spans="1:20" ht="24.95" customHeight="1" x14ac:dyDescent="0.15">
      <c r="A182" s="234" t="s">
        <v>191</v>
      </c>
      <c r="B182" s="274" t="s">
        <v>192</v>
      </c>
      <c r="C182" s="275"/>
      <c r="D182" s="276"/>
      <c r="E182" s="274" t="s">
        <v>193</v>
      </c>
      <c r="F182" s="275"/>
      <c r="G182" s="276"/>
      <c r="H182" s="274" t="s">
        <v>194</v>
      </c>
      <c r="I182" s="275"/>
      <c r="J182" s="276"/>
      <c r="K182" s="274" t="s">
        <v>195</v>
      </c>
      <c r="L182" s="275"/>
      <c r="M182" s="276"/>
      <c r="N182" s="274" t="s">
        <v>196</v>
      </c>
      <c r="O182" s="275"/>
      <c r="P182" s="276"/>
      <c r="Q182" s="274" t="s">
        <v>197</v>
      </c>
      <c r="R182" s="275"/>
      <c r="S182" s="276"/>
      <c r="T182" s="235"/>
    </row>
    <row r="183" spans="1:20" ht="24.95" customHeight="1" x14ac:dyDescent="0.15">
      <c r="A183" s="236">
        <f>小6【S3】!$A$4</f>
        <v>1</v>
      </c>
      <c r="B183" s="237" t="str">
        <f>小6【S3】!$B$4</f>
        <v>国　語</v>
      </c>
      <c r="C183" s="238" t="str">
        <f>小6【S3】!$C$4</f>
        <v>生きる</v>
      </c>
      <c r="D183" s="238" t="str">
        <f>小6【S3】!$D$4</f>
        <v>現</v>
      </c>
      <c r="E183" s="237" t="str">
        <f>小6【S3】!$E$4</f>
        <v>国　語</v>
      </c>
      <c r="F183" s="238" t="str">
        <f>小6【S3】!$F$4</f>
        <v>生きる</v>
      </c>
      <c r="G183" s="238" t="str">
        <f>小6【S3】!$G$4</f>
        <v>現</v>
      </c>
      <c r="H183" s="237" t="str">
        <f>小6【S3】!$H$4</f>
        <v>国　語</v>
      </c>
      <c r="I183" s="238" t="str">
        <f>小6【S3】!$I$4</f>
        <v>生き物は かなえられた</v>
      </c>
      <c r="J183" s="238" t="str">
        <f>小6【S3】!$J$4</f>
        <v>現</v>
      </c>
      <c r="K183" s="237" t="str">
        <f>小6【S3】!$K$4</f>
        <v>国　語</v>
      </c>
      <c r="L183" s="238" t="str">
        <f>小6【S3】!$L$4</f>
        <v>生き物は かなえられた</v>
      </c>
      <c r="M183" s="238" t="str">
        <f>小6【S3】!$M$4</f>
        <v>現</v>
      </c>
      <c r="N183" s="237" t="str">
        <f>小6【S3】!$N$4</f>
        <v>国　語</v>
      </c>
      <c r="O183" s="238" t="str">
        <f>小6【S3】!$O$4</f>
        <v>言葉の種類（形容詞・形容動詞）</v>
      </c>
      <c r="P183" s="238" t="str">
        <f>小6【S3】!$P$4</f>
        <v>現</v>
      </c>
      <c r="Q183" s="237" t="str">
        <f>小6【S3】!$B$9</f>
        <v>国　語</v>
      </c>
      <c r="R183" s="238" t="str">
        <f>小6【S3】!$C$9</f>
        <v>言葉の種類（形容詞・形容動詞）</v>
      </c>
      <c r="S183" s="238" t="str">
        <f>小6【S3】!$D$9</f>
        <v>現</v>
      </c>
      <c r="T183" s="235"/>
    </row>
    <row r="184" spans="1:20" ht="24.95" customHeight="1" x14ac:dyDescent="0.15">
      <c r="A184" s="239">
        <f>小6【S3】!$A$5</f>
        <v>2</v>
      </c>
      <c r="B184" s="240" t="str">
        <f>小6【S3】!$B$5</f>
        <v>算　数</v>
      </c>
      <c r="C184" s="241" t="str">
        <f>小6【S3】!$C$5</f>
        <v>6年のまとめ</v>
      </c>
      <c r="D184" s="241" t="str">
        <f>小6【S3】!$D$5</f>
        <v>現</v>
      </c>
      <c r="E184" s="240" t="str">
        <f>小6【S3】!$E$5</f>
        <v>国　語</v>
      </c>
      <c r="F184" s="241" t="str">
        <f>小6【S3】!$F$5</f>
        <v>生きる</v>
      </c>
      <c r="G184" s="241" t="str">
        <f>小6【S3】!$G$5</f>
        <v>現</v>
      </c>
      <c r="H184" s="240" t="str">
        <f>小6【S3】!$H$5</f>
        <v>算　数</v>
      </c>
      <c r="I184" s="241" t="str">
        <f>小6【S3】!$I$5</f>
        <v>6年のまとめ</v>
      </c>
      <c r="J184" s="241" t="str">
        <f>小6【S3】!$J$5</f>
        <v>現</v>
      </c>
      <c r="K184" s="240" t="str">
        <f>小6【S3】!$K$5</f>
        <v>算　数</v>
      </c>
      <c r="L184" s="241" t="str">
        <f>小6【S3】!$L$5</f>
        <v>6年のまとめ</v>
      </c>
      <c r="M184" s="241" t="str">
        <f>小6【S3】!$M$5</f>
        <v>現</v>
      </c>
      <c r="N184" s="240" t="str">
        <f>小6【S3】!$N$5</f>
        <v>社　会</v>
      </c>
      <c r="O184" s="241" t="str">
        <f>小6【S3】!$O$5</f>
        <v>世界の未来と日本の役割</v>
      </c>
      <c r="P184" s="241" t="str">
        <f>小6【S3】!$P$5</f>
        <v>現</v>
      </c>
      <c r="Q184" s="240" t="str">
        <f>小6【S3】!$B$10</f>
        <v>図　工</v>
      </c>
      <c r="R184" s="241" t="str">
        <f>小6【S3】!$C$10</f>
        <v>学習用具・教科用語</v>
      </c>
      <c r="S184" s="241" t="str">
        <f>小6【S3】!$D$10</f>
        <v>現</v>
      </c>
      <c r="T184" s="235"/>
    </row>
    <row r="185" spans="1:20" ht="24.95" customHeight="1" x14ac:dyDescent="0.15">
      <c r="A185" s="239">
        <f>小6【S3】!$A$6</f>
        <v>3</v>
      </c>
      <c r="B185" s="240" t="str">
        <f>小6【S3】!$B$6</f>
        <v>国　語</v>
      </c>
      <c r="C185" s="241" t="str">
        <f>小6【S3】!$C$6</f>
        <v>形よう詞（小4）</v>
      </c>
      <c r="D185" s="241" t="str">
        <f>小6【S3】!$D$6</f>
        <v>ス</v>
      </c>
      <c r="E185" s="240" t="str">
        <f>小6【S3】!$E$6</f>
        <v>算　数</v>
      </c>
      <c r="F185" s="241" t="str">
        <f>小6【S3】!$F$6</f>
        <v>6年のまとめ</v>
      </c>
      <c r="G185" s="241" t="str">
        <f>小6【S3】!$G$6</f>
        <v>現</v>
      </c>
      <c r="H185" s="240" t="str">
        <f>小6【S3】!$H$6</f>
        <v>理　科</v>
      </c>
      <c r="I185" s="241" t="str">
        <f>小6【S3】!$I$6</f>
        <v>生物と地球環境</v>
      </c>
      <c r="J185" s="241" t="str">
        <f>小6【S3】!$J$6</f>
        <v>現</v>
      </c>
      <c r="K185" s="240" t="str">
        <f>小6【S3】!$K$6</f>
        <v>日本語</v>
      </c>
      <c r="L185" s="241" t="str">
        <f>小6【S3】!$L$6</f>
        <v>日本の文化</v>
      </c>
      <c r="M185" s="241" t="str">
        <f>小6【S3】!$M$6</f>
        <v>ス</v>
      </c>
      <c r="N185" s="240" t="str">
        <f>小6【S3】!$N$6</f>
        <v>社　会</v>
      </c>
      <c r="O185" s="241" t="str">
        <f>小6【S3】!$O$6</f>
        <v>学習用具・教科用語</v>
      </c>
      <c r="P185" s="241" t="str">
        <f>小6【S3】!$P$6</f>
        <v>ス</v>
      </c>
      <c r="Q185" s="240" t="str">
        <f>小6【S3】!$B$11</f>
        <v>国　語</v>
      </c>
      <c r="R185" s="241" t="str">
        <f>小6【S3】!$C$11</f>
        <v>様子を表す言葉（小2）</v>
      </c>
      <c r="S185" s="241" t="str">
        <f>小6【S3】!$D$11</f>
        <v>ス</v>
      </c>
      <c r="T185" s="235"/>
    </row>
    <row r="186" spans="1:20" ht="24.95" customHeight="1" x14ac:dyDescent="0.15">
      <c r="A186" s="239">
        <f>小6【S3】!$A$7</f>
        <v>4</v>
      </c>
      <c r="B186" s="240" t="str">
        <f>小6【S3】!$B$7</f>
        <v>理　科</v>
      </c>
      <c r="C186" s="241" t="str">
        <f>小6【S3】!$C$7</f>
        <v>学習用具・教科用語</v>
      </c>
      <c r="D186" s="241" t="str">
        <f>小6【S3】!$D$7</f>
        <v>ス</v>
      </c>
      <c r="E186" s="240" t="str">
        <f>小6【S3】!$E$7</f>
        <v>日本語</v>
      </c>
      <c r="F186" s="241" t="str">
        <f>小6【S3】!$F$7</f>
        <v>日本語能力試験</v>
      </c>
      <c r="G186" s="241" t="str">
        <f>小6【S3】!$G$7</f>
        <v>ス</v>
      </c>
      <c r="H186" s="240" t="str">
        <f>小6【S3】!$H$7</f>
        <v>算　数</v>
      </c>
      <c r="I186" s="241" t="str">
        <f>小6【S3】!$I$7</f>
        <v>数と量</v>
      </c>
      <c r="J186" s="241" t="str">
        <f>小6【S3】!$J$7</f>
        <v>ス</v>
      </c>
      <c r="K186" s="240" t="str">
        <f>小6【S3】!$K$7</f>
        <v>日本語</v>
      </c>
      <c r="L186" s="241" t="str">
        <f>小6【S3】!$L$7</f>
        <v>語彙</v>
      </c>
      <c r="M186" s="241" t="str">
        <f>小6【S3】!$M$7</f>
        <v>ス</v>
      </c>
      <c r="N186" s="240" t="str">
        <f>小6【S3】!$N$7</f>
        <v>算　数</v>
      </c>
      <c r="O186" s="241" t="str">
        <f>小6【S3】!$O$7</f>
        <v>図形</v>
      </c>
      <c r="P186" s="241" t="str">
        <f>小6【S3】!$P$7</f>
        <v>ス</v>
      </c>
      <c r="Q186" s="240" t="str">
        <f>小6【S3】!$B$12</f>
        <v>音　楽</v>
      </c>
      <c r="R186" s="241" t="str">
        <f>小6【S3】!$C$12</f>
        <v>学習用具・教科用語</v>
      </c>
      <c r="S186" s="241" t="str">
        <f>小6【S3】!$D$12</f>
        <v>ス</v>
      </c>
      <c r="T186" s="235"/>
    </row>
    <row r="187" spans="1:20" ht="24.95" customHeight="1" x14ac:dyDescent="0.15">
      <c r="A187" s="252"/>
      <c r="B187" s="253"/>
      <c r="C187" s="254"/>
      <c r="D187" s="254"/>
      <c r="E187" s="253"/>
      <c r="F187" s="254"/>
      <c r="G187" s="254"/>
      <c r="H187" s="253"/>
      <c r="I187" s="255"/>
      <c r="J187" s="255"/>
      <c r="K187" s="253"/>
      <c r="L187" s="254"/>
      <c r="M187" s="254"/>
      <c r="N187" s="253"/>
      <c r="O187" s="254"/>
      <c r="P187" s="254"/>
      <c r="Q187" s="253"/>
      <c r="R187" s="254"/>
      <c r="S187" s="254"/>
    </row>
    <row r="188" spans="1:20" ht="24.95" customHeight="1" x14ac:dyDescent="0.15">
      <c r="A188" s="228"/>
      <c r="B188" s="229"/>
      <c r="C188" s="270" t="str">
        <f>小6【S4】!$C$2</f>
        <v>小6　3月　【S4】　指導ユニット　モジュール（現学年・ステップ）配当計画</v>
      </c>
      <c r="D188" s="271"/>
      <c r="E188" s="271"/>
      <c r="F188" s="271"/>
      <c r="G188" s="272"/>
      <c r="H188" s="272"/>
      <c r="I188" s="272"/>
      <c r="J188" s="272"/>
      <c r="K188" s="272"/>
      <c r="L188" s="272"/>
      <c r="M188" s="273"/>
      <c r="N188" s="272"/>
      <c r="O188" s="208"/>
      <c r="P188" s="208"/>
      <c r="Q188" s="229"/>
      <c r="R188" s="208"/>
      <c r="S188" s="208"/>
    </row>
    <row r="189" spans="1:20" ht="24.95" customHeight="1" x14ac:dyDescent="0.15">
      <c r="A189" s="234" t="s">
        <v>191</v>
      </c>
      <c r="B189" s="274" t="s">
        <v>192</v>
      </c>
      <c r="C189" s="275"/>
      <c r="D189" s="276"/>
      <c r="E189" s="274" t="s">
        <v>193</v>
      </c>
      <c r="F189" s="275"/>
      <c r="G189" s="276"/>
      <c r="H189" s="274" t="s">
        <v>194</v>
      </c>
      <c r="I189" s="275"/>
      <c r="J189" s="276"/>
      <c r="K189" s="274" t="s">
        <v>195</v>
      </c>
      <c r="L189" s="275"/>
      <c r="M189" s="276"/>
      <c r="N189" s="245"/>
    </row>
    <row r="190" spans="1:20" ht="24.95" customHeight="1" x14ac:dyDescent="0.15">
      <c r="A190" s="236">
        <f>小6【S4】!$A$4</f>
        <v>1</v>
      </c>
      <c r="B190" s="237" t="str">
        <f>小6【S4】!$B$4</f>
        <v>国　語</v>
      </c>
      <c r="C190" s="238" t="str">
        <f>小6【S4】!$C$4</f>
        <v>生きる</v>
      </c>
      <c r="D190" s="238" t="str">
        <f>小6【S4】!$D$4</f>
        <v>現</v>
      </c>
      <c r="E190" s="237" t="str">
        <f>小6【S4】!$E$4</f>
        <v>国　語</v>
      </c>
      <c r="F190" s="238" t="str">
        <f>小6【S4】!$F$4</f>
        <v>生きる</v>
      </c>
      <c r="G190" s="238" t="str">
        <f>小6【S4】!$G$4</f>
        <v>現</v>
      </c>
      <c r="H190" s="237" t="str">
        <f>小6【S4】!$H$4</f>
        <v>国　語</v>
      </c>
      <c r="I190" s="238" t="str">
        <f>小6【S4】!$I$4</f>
        <v>生き物は かなえられた</v>
      </c>
      <c r="J190" s="238" t="str">
        <f>小6【S4】!$J$4</f>
        <v>現</v>
      </c>
      <c r="K190" s="237" t="str">
        <f>小6【S4】!$K$4</f>
        <v>国　語</v>
      </c>
      <c r="L190" s="238" t="str">
        <f>小6【S4】!$L$4</f>
        <v>生き物は かなえられた</v>
      </c>
      <c r="M190" s="238" t="str">
        <f>小6【S4】!$M$4</f>
        <v>現</v>
      </c>
      <c r="N190" s="245"/>
    </row>
    <row r="191" spans="1:20" ht="24.95" customHeight="1" x14ac:dyDescent="0.15">
      <c r="A191" s="239">
        <f>小6【S4】!$A$5</f>
        <v>2</v>
      </c>
      <c r="B191" s="240" t="str">
        <f>小6【S4】!$B$5</f>
        <v>社　会</v>
      </c>
      <c r="C191" s="241" t="str">
        <f>小6【S4】!$C$5</f>
        <v>世界の未来と日本の役割</v>
      </c>
      <c r="D191" s="241" t="str">
        <f>小6【S4】!$D$5</f>
        <v>現</v>
      </c>
      <c r="E191" s="240" t="str">
        <f>小6【S4】!$E$5</f>
        <v>算　数</v>
      </c>
      <c r="F191" s="241" t="str">
        <f>小6【S4】!$F$5</f>
        <v>6年のまとめ</v>
      </c>
      <c r="G191" s="241" t="str">
        <f>小6【S4】!$G$5</f>
        <v>現</v>
      </c>
      <c r="H191" s="240" t="str">
        <f>小6【S4】!$H$5</f>
        <v>算　数</v>
      </c>
      <c r="I191" s="241" t="str">
        <f>小6【S4】!$I$5</f>
        <v>6年のまとめ</v>
      </c>
      <c r="J191" s="241" t="str">
        <f>小6【S4】!$J$5</f>
        <v>現</v>
      </c>
      <c r="K191" s="240" t="str">
        <f>小6【S4】!$K$5</f>
        <v>国　語</v>
      </c>
      <c r="L191" s="241" t="str">
        <f>小6【S4】!$L$5</f>
        <v>言葉の種類（形容詞・形容動詞）</v>
      </c>
      <c r="M191" s="241" t="str">
        <f>小6【S4】!$M$5</f>
        <v>現</v>
      </c>
      <c r="N191" s="245"/>
    </row>
    <row r="192" spans="1:20" ht="24.95" customHeight="1" x14ac:dyDescent="0.15">
      <c r="A192" s="239">
        <f>小6【S4】!$A$6</f>
        <v>3</v>
      </c>
      <c r="B192" s="240" t="str">
        <f>小6【S4】!$B$6</f>
        <v>算　数</v>
      </c>
      <c r="C192" s="241" t="str">
        <f>小6【S4】!$C$6</f>
        <v>6年のまとめ</v>
      </c>
      <c r="D192" s="241" t="str">
        <f>小6【S4】!$D$6</f>
        <v>現</v>
      </c>
      <c r="E192" s="240" t="str">
        <f>小6【S4】!$E$6</f>
        <v>音　楽</v>
      </c>
      <c r="F192" s="241" t="str">
        <f>小6【S4】!$F$6</f>
        <v>学習用具・教科用語</v>
      </c>
      <c r="G192" s="241" t="str">
        <f>小6【S4】!$G$6</f>
        <v>現</v>
      </c>
      <c r="H192" s="240" t="str">
        <f>小6【S4】!$H$6</f>
        <v>理　科</v>
      </c>
      <c r="I192" s="241" t="str">
        <f>小6【S4】!$I$6</f>
        <v>生物と地球環境</v>
      </c>
      <c r="J192" s="241" t="str">
        <f>小6【S4】!$J$6</f>
        <v>現</v>
      </c>
      <c r="K192" s="240" t="str">
        <f>小6【S4】!$K$6</f>
        <v>理　科</v>
      </c>
      <c r="L192" s="241" t="str">
        <f>小6【S4】!$L$6</f>
        <v>生物と地球環境</v>
      </c>
      <c r="M192" s="241" t="str">
        <f>小6【S4】!$M$6</f>
        <v>現</v>
      </c>
      <c r="N192" s="245"/>
    </row>
    <row r="193" spans="1:20" ht="24.95" customHeight="1" x14ac:dyDescent="0.15">
      <c r="A193" s="239">
        <f>小6【S4】!$A$7</f>
        <v>4</v>
      </c>
      <c r="B193" s="240" t="str">
        <f>小6【S4】!$B$7</f>
        <v>日本語</v>
      </c>
      <c r="C193" s="241" t="str">
        <f>小6【S4】!$C$7</f>
        <v>語彙</v>
      </c>
      <c r="D193" s="241" t="str">
        <f>小6【S4】!$D$7</f>
        <v>ス</v>
      </c>
      <c r="E193" s="240" t="str">
        <f>小6【S4】!$E$7</f>
        <v>社　会</v>
      </c>
      <c r="F193" s="241" t="str">
        <f>小6【S4】!$F$7</f>
        <v>学習用具・教科用語</v>
      </c>
      <c r="G193" s="241" t="str">
        <f>小6【S4】!$G$7</f>
        <v>ス</v>
      </c>
      <c r="H193" s="240" t="str">
        <f>小6【S4】!$H$7</f>
        <v>体　育</v>
      </c>
      <c r="I193" s="241" t="str">
        <f>小6【S4】!$I$7</f>
        <v>学習用具・教科用語</v>
      </c>
      <c r="J193" s="241" t="str">
        <f>小6【S4】!$J$7</f>
        <v>ス</v>
      </c>
      <c r="K193" s="240" t="str">
        <f>小6【S4】!$K$7</f>
        <v>日本語</v>
      </c>
      <c r="L193" s="241" t="str">
        <f>小6【S4】!$L$7</f>
        <v>日本語能力試験</v>
      </c>
      <c r="M193" s="241" t="str">
        <f>小6【S4】!$M$7</f>
        <v>ス</v>
      </c>
      <c r="N193" s="245"/>
    </row>
    <row r="194" spans="1:20" ht="24.95" customHeight="1" x14ac:dyDescent="0.15">
      <c r="A194" s="242"/>
      <c r="B194" s="247"/>
      <c r="C194" s="248"/>
      <c r="D194" s="248"/>
      <c r="E194" s="247"/>
      <c r="F194" s="248"/>
      <c r="G194" s="248"/>
      <c r="H194" s="253"/>
      <c r="I194" s="254"/>
      <c r="J194" s="254"/>
      <c r="K194" s="253"/>
      <c r="L194" s="254"/>
      <c r="M194" s="254"/>
      <c r="N194" s="229"/>
      <c r="O194" s="208"/>
      <c r="P194" s="208"/>
      <c r="Q194" s="229"/>
      <c r="R194" s="208"/>
      <c r="S194" s="208"/>
    </row>
    <row r="195" spans="1:20" ht="24.95" customHeight="1" x14ac:dyDescent="0.15">
      <c r="A195" s="256"/>
      <c r="B195" s="249"/>
      <c r="C195" s="251"/>
      <c r="D195" s="251"/>
      <c r="E195" s="249"/>
      <c r="F195" s="251"/>
      <c r="G195" s="251"/>
      <c r="H195" s="229"/>
      <c r="I195" s="208"/>
      <c r="J195" s="208"/>
      <c r="K195" s="229"/>
      <c r="L195" s="208"/>
      <c r="M195" s="208"/>
      <c r="N195" s="229"/>
      <c r="O195" s="208"/>
      <c r="P195" s="208"/>
      <c r="Q195" s="229"/>
      <c r="R195" s="208"/>
      <c r="S195" s="208"/>
    </row>
    <row r="196" spans="1:20" ht="24.95" customHeight="1" x14ac:dyDescent="0.15">
      <c r="A196" s="228"/>
      <c r="B196" s="230"/>
      <c r="C196" s="270" t="str">
        <f>中1【S2】!$C$2</f>
        <v>中1　3月　【S2】　指導ユニット　モジュール（現学年・ステップ）配当計画</v>
      </c>
      <c r="D196" s="271"/>
      <c r="E196" s="271"/>
      <c r="F196" s="271"/>
      <c r="G196" s="272"/>
      <c r="H196" s="272"/>
      <c r="I196" s="272"/>
      <c r="J196" s="272"/>
      <c r="K196" s="272"/>
      <c r="L196" s="272"/>
      <c r="M196" s="273"/>
      <c r="N196" s="272"/>
      <c r="O196" s="208"/>
      <c r="P196" s="233"/>
      <c r="Q196" s="229"/>
      <c r="R196" s="208"/>
      <c r="S196" s="208"/>
    </row>
    <row r="197" spans="1:20" ht="24.95" customHeight="1" x14ac:dyDescent="0.15">
      <c r="A197" s="234" t="s">
        <v>191</v>
      </c>
      <c r="B197" s="274" t="s">
        <v>192</v>
      </c>
      <c r="C197" s="275"/>
      <c r="D197" s="276"/>
      <c r="E197" s="274" t="s">
        <v>193</v>
      </c>
      <c r="F197" s="275"/>
      <c r="G197" s="276"/>
      <c r="H197" s="274" t="s">
        <v>194</v>
      </c>
      <c r="I197" s="275"/>
      <c r="J197" s="276"/>
      <c r="K197" s="274" t="s">
        <v>195</v>
      </c>
      <c r="L197" s="275"/>
      <c r="M197" s="276"/>
      <c r="N197" s="274" t="s">
        <v>196</v>
      </c>
      <c r="O197" s="275"/>
      <c r="P197" s="276"/>
      <c r="Q197" s="274" t="s">
        <v>197</v>
      </c>
      <c r="R197" s="275"/>
      <c r="S197" s="276"/>
      <c r="T197" s="235"/>
    </row>
    <row r="198" spans="1:20" ht="24.95" customHeight="1" x14ac:dyDescent="0.15">
      <c r="A198" s="236">
        <f>中1【S2】!$A$4</f>
        <v>1</v>
      </c>
      <c r="B198" s="237" t="str">
        <f>中1【S2】!$B$4</f>
        <v>国　語</v>
      </c>
      <c r="C198" s="238" t="str">
        <f>中1【S2】!$C$4</f>
        <v>ぼくが　ここに</v>
      </c>
      <c r="D198" s="238" t="str">
        <f>中1【S2】!$D$4</f>
        <v>現</v>
      </c>
      <c r="E198" s="237" t="str">
        <f>中1【S2】!$E$4</f>
        <v>国　語</v>
      </c>
      <c r="F198" s="238" t="str">
        <f>中1【S2】!$F$4</f>
        <v>言葉の単位</v>
      </c>
      <c r="G198" s="238" t="str">
        <f>中1【S2】!$G$4</f>
        <v>現</v>
      </c>
      <c r="H198" s="237" t="str">
        <f>中1【S2】!$H$4</f>
        <v>国　語</v>
      </c>
      <c r="I198" s="238" t="str">
        <f>中1【S2】!$I$4</f>
        <v>言葉の単位</v>
      </c>
      <c r="J198" s="238" t="str">
        <f>中1【S2】!$J$4</f>
        <v>現</v>
      </c>
      <c r="K198" s="237" t="str">
        <f>中1【S2】!$K$4</f>
        <v>国　語</v>
      </c>
      <c r="L198" s="238" t="str">
        <f>中1【S2】!$L$4</f>
        <v>文の組み立て</v>
      </c>
      <c r="M198" s="238" t="str">
        <f>中1【S2】!$M$4</f>
        <v>現</v>
      </c>
      <c r="N198" s="237" t="str">
        <f>中1【S2】!$N$4</f>
        <v>理　科</v>
      </c>
      <c r="O198" s="238" t="str">
        <f>中1【S2】!$O$4</f>
        <v>大地の変動</v>
      </c>
      <c r="P198" s="238" t="str">
        <f>中1【S2】!$P$4</f>
        <v>現</v>
      </c>
      <c r="Q198" s="237" t="str">
        <f>中1【S2】!$B$9</f>
        <v>国　語</v>
      </c>
      <c r="R198" s="238" t="str">
        <f>中1【S2】!$C$9</f>
        <v>文の組み立て</v>
      </c>
      <c r="S198" s="238" t="str">
        <f>中1【S2】!$D$9</f>
        <v>現</v>
      </c>
      <c r="T198" s="235"/>
    </row>
    <row r="199" spans="1:20" ht="24.95" customHeight="1" x14ac:dyDescent="0.15">
      <c r="A199" s="239">
        <f>中1【S2】!$A$5</f>
        <v>2</v>
      </c>
      <c r="B199" s="240" t="str">
        <f>中1【S2】!$B$5</f>
        <v>数　学</v>
      </c>
      <c r="C199" s="241" t="str">
        <f>中1【S2】!$C$5</f>
        <v>資料の活用</v>
      </c>
      <c r="D199" s="241" t="str">
        <f>中1【S2】!$D$5</f>
        <v>現</v>
      </c>
      <c r="E199" s="240" t="str">
        <f>中1【S2】!$E$5</f>
        <v>社　会</v>
      </c>
      <c r="F199" s="241" t="str">
        <f>中1【S2】!$F$5</f>
        <v>世界から見た日本の自然環境</v>
      </c>
      <c r="G199" s="241" t="str">
        <f>中1【S2】!$G$5</f>
        <v>現</v>
      </c>
      <c r="H199" s="240" t="str">
        <f>中1【S2】!$H$5</f>
        <v>数　学</v>
      </c>
      <c r="I199" s="241" t="str">
        <f>中1【S2】!$I$5</f>
        <v>資料の活用</v>
      </c>
      <c r="J199" s="241" t="str">
        <f>中1【S2】!$J$5</f>
        <v>現</v>
      </c>
      <c r="K199" s="240" t="str">
        <f>中1【S2】!$K$5</f>
        <v>日本語</v>
      </c>
      <c r="L199" s="241" t="str">
        <f>中1【S2】!$L$5</f>
        <v>日本の文化</v>
      </c>
      <c r="M199" s="241" t="str">
        <f>中1【S2】!$M$5</f>
        <v>ス</v>
      </c>
      <c r="N199" s="240" t="str">
        <f>中1【S2】!$N$5</f>
        <v>日本語</v>
      </c>
      <c r="O199" s="241" t="str">
        <f>中1【S2】!$O$5</f>
        <v>語彙</v>
      </c>
      <c r="P199" s="241" t="str">
        <f>中1【S2】!$P$5</f>
        <v>ス</v>
      </c>
      <c r="Q199" s="240" t="str">
        <f>中1【S2】!$B$10</f>
        <v>日本語</v>
      </c>
      <c r="R199" s="241" t="str">
        <f>中1【S2】!$C$10</f>
        <v>家庭生活</v>
      </c>
      <c r="S199" s="241" t="str">
        <f>中1【S2】!$D$10</f>
        <v>ス</v>
      </c>
      <c r="T199" s="235"/>
    </row>
    <row r="200" spans="1:20" ht="24.95" customHeight="1" x14ac:dyDescent="0.15">
      <c r="A200" s="239">
        <f>中1【S2】!$A$6</f>
        <v>3</v>
      </c>
      <c r="B200" s="240" t="str">
        <f>中1【S2】!$B$6</f>
        <v>社　会</v>
      </c>
      <c r="C200" s="241" t="str">
        <f>中1【S2】!$C$6</f>
        <v>学習用具・教科用語</v>
      </c>
      <c r="D200" s="241" t="str">
        <f>中1【S2】!$D$6</f>
        <v>ス</v>
      </c>
      <c r="E200" s="240" t="str">
        <f>中1【S2】!$E$6</f>
        <v>国　語</v>
      </c>
      <c r="F200" s="241" t="str">
        <f>中1【S2】!$F$6</f>
        <v>言葉を分類する（小3）</v>
      </c>
      <c r="G200" s="241" t="str">
        <f>中1【S2】!$G$6</f>
        <v>ス</v>
      </c>
      <c r="H200" s="240" t="str">
        <f>中1【S2】!$H$6</f>
        <v>国　語</v>
      </c>
      <c r="I200" s="241" t="str">
        <f>中1【S2】!$I$6</f>
        <v>文・文節（小4）</v>
      </c>
      <c r="J200" s="241" t="str">
        <f>中1【S2】!$J$6</f>
        <v>ス</v>
      </c>
      <c r="K200" s="240" t="str">
        <f>中1【S2】!$K$6</f>
        <v>国　語</v>
      </c>
      <c r="L200" s="241" t="str">
        <f>中1【S2】!$L$6</f>
        <v>単文・複文・重文（小5）</v>
      </c>
      <c r="M200" s="241" t="str">
        <f>中1【S2】!$M$6</f>
        <v>ス</v>
      </c>
      <c r="N200" s="240" t="str">
        <f>中1【S2】!$N$6</f>
        <v>日本語</v>
      </c>
      <c r="O200" s="241" t="str">
        <f>中1【S2】!$O$6</f>
        <v>日本語能力試験</v>
      </c>
      <c r="P200" s="241" t="str">
        <f>中1【S2】!$P$6</f>
        <v>ス</v>
      </c>
      <c r="Q200" s="240" t="str">
        <f>中1【S2】!$B$11</f>
        <v>図　工</v>
      </c>
      <c r="R200" s="241" t="str">
        <f>中1【S2】!$C$11</f>
        <v>学習用具・教科用語</v>
      </c>
      <c r="S200" s="241" t="str">
        <f>中1【S2】!$D$11</f>
        <v>ス</v>
      </c>
      <c r="T200" s="235"/>
    </row>
    <row r="201" spans="1:20" ht="24.95" customHeight="1" x14ac:dyDescent="0.15">
      <c r="A201" s="239">
        <f>中1【S2】!$A$7</f>
        <v>4</v>
      </c>
      <c r="B201" s="240" t="str">
        <f>中1【S2】!$B$7</f>
        <v>算　数</v>
      </c>
      <c r="C201" s="241" t="str">
        <f>中1【S2】!$C$7</f>
        <v>資料の調べ方（小6）</v>
      </c>
      <c r="D201" s="241" t="str">
        <f>中1【S2】!$D$7</f>
        <v>ス</v>
      </c>
      <c r="E201" s="240" t="str">
        <f>中1【S2】!$E$7</f>
        <v>日本語</v>
      </c>
      <c r="F201" s="241" t="str">
        <f>中1【S2】!$F$7</f>
        <v>語彙</v>
      </c>
      <c r="G201" s="241" t="str">
        <f>中1【S2】!$G$7</f>
        <v>ス</v>
      </c>
      <c r="H201" s="240" t="str">
        <f>中1【S2】!$H$7</f>
        <v>算　数</v>
      </c>
      <c r="I201" s="241" t="str">
        <f>中1【S2】!$I$7</f>
        <v>資料の調べ方（小6）</v>
      </c>
      <c r="J201" s="241" t="str">
        <f>中1【S2】!$J$7</f>
        <v>ス</v>
      </c>
      <c r="K201" s="240" t="str">
        <f>中1【S2】!$K$7</f>
        <v>算　数</v>
      </c>
      <c r="L201" s="241" t="str">
        <f>中1【S2】!$L$7</f>
        <v>復習</v>
      </c>
      <c r="M201" s="241" t="str">
        <f>中1【S2】!$M$7</f>
        <v>ス</v>
      </c>
      <c r="N201" s="240" t="str">
        <f>中1【S2】!$N$7</f>
        <v>理　科</v>
      </c>
      <c r="O201" s="241" t="str">
        <f>中1【S2】!$O$7</f>
        <v>学習用具・教科用語</v>
      </c>
      <c r="P201" s="241" t="str">
        <f>中1【S2】!$P$7</f>
        <v>ス</v>
      </c>
      <c r="Q201" s="240" t="str">
        <f>中1【S2】!$B$12</f>
        <v>体　育</v>
      </c>
      <c r="R201" s="241" t="str">
        <f>中1【S2】!$C$12</f>
        <v>学習用具・教科用語</v>
      </c>
      <c r="S201" s="241" t="str">
        <f>中1【S2】!$D$12</f>
        <v>ス</v>
      </c>
      <c r="T201" s="235"/>
    </row>
    <row r="202" spans="1:20" ht="24.95" customHeight="1" x14ac:dyDescent="0.15">
      <c r="A202" s="242"/>
      <c r="B202" s="274" t="s">
        <v>198</v>
      </c>
      <c r="C202" s="275"/>
      <c r="D202" s="276"/>
      <c r="E202" s="274" t="s">
        <v>199</v>
      </c>
      <c r="F202" s="275"/>
      <c r="G202" s="276"/>
      <c r="H202" s="243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</row>
    <row r="203" spans="1:20" ht="24.95" customHeight="1" x14ac:dyDescent="0.15">
      <c r="A203" s="236">
        <f>中1【S2】!$A$4</f>
        <v>1</v>
      </c>
      <c r="B203" s="237" t="str">
        <f>中1【S2】!$E$9</f>
        <v>国　語</v>
      </c>
      <c r="C203" s="238" t="str">
        <f>中1【S2】!$F$9</f>
        <v>単語の分類</v>
      </c>
      <c r="D203" s="238" t="str">
        <f>中1【S2】!$G$9</f>
        <v>現</v>
      </c>
      <c r="E203" s="237" t="str">
        <f>中1【S2】!$H$9</f>
        <v>数　学</v>
      </c>
      <c r="F203" s="238" t="str">
        <f>中1【S2】!$I$9</f>
        <v>資料の活用</v>
      </c>
      <c r="G203" s="238" t="str">
        <f>中1【S2】!$J$9</f>
        <v>現</v>
      </c>
      <c r="H203" s="245"/>
    </row>
    <row r="204" spans="1:20" ht="24.95" customHeight="1" x14ac:dyDescent="0.15">
      <c r="A204" s="239">
        <f>中1【S2】!$A$5</f>
        <v>2</v>
      </c>
      <c r="B204" s="240" t="str">
        <f>中1【S2】!$E$10</f>
        <v>国　語</v>
      </c>
      <c r="C204" s="241" t="str">
        <f>中1【S2】!$F$10</f>
        <v>単語の分類</v>
      </c>
      <c r="D204" s="241" t="str">
        <f>中1【S2】!$G$10</f>
        <v>現</v>
      </c>
      <c r="E204" s="240" t="str">
        <f>中1【S2】!$H$10</f>
        <v>音　楽</v>
      </c>
      <c r="F204" s="241" t="str">
        <f>中1【S2】!$I$10</f>
        <v>学習用具・教科用語</v>
      </c>
      <c r="G204" s="241" t="str">
        <f>中1【S2】!$J$10</f>
        <v>現</v>
      </c>
      <c r="H204" s="245"/>
    </row>
    <row r="205" spans="1:20" ht="24.95" customHeight="1" x14ac:dyDescent="0.15">
      <c r="A205" s="239">
        <f>中1【S2】!$A$6</f>
        <v>3</v>
      </c>
      <c r="B205" s="240" t="str">
        <f>中1【S2】!$E$11</f>
        <v>社　会</v>
      </c>
      <c r="C205" s="241" t="str">
        <f>中1【S2】!$F$11</f>
        <v>学習用具・教科用語</v>
      </c>
      <c r="D205" s="241" t="str">
        <f>中1【S2】!$G$11</f>
        <v>ス</v>
      </c>
      <c r="E205" s="240" t="str">
        <f>中1【S2】!$H$11</f>
        <v>日本語</v>
      </c>
      <c r="F205" s="241" t="str">
        <f>中1【S2】!$I$11</f>
        <v>学校生活</v>
      </c>
      <c r="G205" s="241" t="str">
        <f>中1【S2】!$J$11</f>
        <v>ス</v>
      </c>
      <c r="H205" s="245"/>
    </row>
    <row r="206" spans="1:20" ht="24.95" customHeight="1" x14ac:dyDescent="0.15">
      <c r="A206" s="239">
        <f>中1【S2】!$A$7</f>
        <v>4</v>
      </c>
      <c r="B206" s="240" t="str">
        <f>中1【S2】!$E$12</f>
        <v>算　数</v>
      </c>
      <c r="C206" s="241" t="str">
        <f>中1【S2】!$F$12</f>
        <v>復習</v>
      </c>
      <c r="D206" s="241" t="str">
        <f>中1【S2】!$G$12</f>
        <v>ス</v>
      </c>
      <c r="E206" s="240" t="str">
        <f>中1【S2】!$H$12</f>
        <v>算　数</v>
      </c>
      <c r="F206" s="241" t="str">
        <f>中1【S2】!$I$12</f>
        <v>復習</v>
      </c>
      <c r="G206" s="241" t="str">
        <f>中1【S2】!$J$12</f>
        <v>ス</v>
      </c>
      <c r="H206" s="245"/>
    </row>
    <row r="207" spans="1:20" ht="24.95" customHeight="1" x14ac:dyDescent="0.15">
      <c r="A207" s="242"/>
      <c r="B207" s="247"/>
      <c r="C207" s="248"/>
      <c r="D207" s="248"/>
      <c r="E207" s="247"/>
      <c r="F207" s="248"/>
      <c r="G207" s="248"/>
      <c r="H207" s="249"/>
      <c r="I207" s="250"/>
      <c r="J207" s="250"/>
      <c r="K207" s="249"/>
      <c r="L207" s="251"/>
      <c r="M207" s="251"/>
      <c r="N207" s="249"/>
      <c r="O207" s="251"/>
      <c r="P207" s="251"/>
      <c r="Q207" s="229"/>
      <c r="R207" s="208"/>
      <c r="S207" s="208"/>
    </row>
    <row r="208" spans="1:20" ht="24.95" customHeight="1" x14ac:dyDescent="0.15">
      <c r="A208" s="228"/>
      <c r="B208" s="229"/>
      <c r="C208" s="270" t="str">
        <f>中1【S3】!$C$2</f>
        <v>中1　3月　【S3】　指導ユニット　モジュール（現学年・ステップ）配当計画</v>
      </c>
      <c r="D208" s="271"/>
      <c r="E208" s="271"/>
      <c r="F208" s="271"/>
      <c r="G208" s="272"/>
      <c r="H208" s="272"/>
      <c r="I208" s="272"/>
      <c r="J208" s="272"/>
      <c r="K208" s="272"/>
      <c r="L208" s="272"/>
      <c r="M208" s="273"/>
      <c r="N208" s="272"/>
      <c r="O208" s="208"/>
      <c r="P208" s="208"/>
      <c r="Q208" s="229"/>
      <c r="R208" s="208"/>
      <c r="S208" s="208"/>
    </row>
    <row r="209" spans="1:20" ht="24.95" customHeight="1" x14ac:dyDescent="0.15">
      <c r="A209" s="234" t="s">
        <v>191</v>
      </c>
      <c r="B209" s="274" t="s">
        <v>192</v>
      </c>
      <c r="C209" s="275"/>
      <c r="D209" s="276"/>
      <c r="E209" s="274" t="s">
        <v>193</v>
      </c>
      <c r="F209" s="275"/>
      <c r="G209" s="276"/>
      <c r="H209" s="274" t="s">
        <v>194</v>
      </c>
      <c r="I209" s="275"/>
      <c r="J209" s="276"/>
      <c r="K209" s="274" t="s">
        <v>195</v>
      </c>
      <c r="L209" s="275"/>
      <c r="M209" s="276"/>
      <c r="N209" s="274" t="s">
        <v>196</v>
      </c>
      <c r="O209" s="275"/>
      <c r="P209" s="276"/>
      <c r="Q209" s="274" t="s">
        <v>197</v>
      </c>
      <c r="R209" s="275"/>
      <c r="S209" s="276"/>
      <c r="T209" s="235"/>
    </row>
    <row r="210" spans="1:20" ht="24.95" customHeight="1" x14ac:dyDescent="0.15">
      <c r="A210" s="236">
        <f>中1【S3】!$A$4</f>
        <v>1</v>
      </c>
      <c r="B210" s="237" t="str">
        <f>中1【S3】!$B$4</f>
        <v>国　語</v>
      </c>
      <c r="C210" s="238" t="str">
        <f>中1【S3】!$C$4</f>
        <v>ぼくが　ここに</v>
      </c>
      <c r="D210" s="238" t="str">
        <f>中1【S3】!$D$4</f>
        <v>現</v>
      </c>
      <c r="E210" s="237" t="str">
        <f>中1【S3】!$E$4</f>
        <v>国　語</v>
      </c>
      <c r="F210" s="238" t="str">
        <f>中1【S3】!$F$4</f>
        <v>言葉の単位</v>
      </c>
      <c r="G210" s="238" t="str">
        <f>中1【S3】!$G$4</f>
        <v>現</v>
      </c>
      <c r="H210" s="237" t="str">
        <f>中1【S3】!$H$4</f>
        <v>国　語</v>
      </c>
      <c r="I210" s="238" t="str">
        <f>中1【S3】!$I$4</f>
        <v>文の組み立て</v>
      </c>
      <c r="J210" s="238" t="str">
        <f>中1【S3】!$J$4</f>
        <v>現</v>
      </c>
      <c r="K210" s="237" t="str">
        <f>中1【S3】!$K$4</f>
        <v>国　語</v>
      </c>
      <c r="L210" s="238" t="str">
        <f>中1【S3】!$L$4</f>
        <v>文の組み立て</v>
      </c>
      <c r="M210" s="238" t="str">
        <f>中1【S3】!$M$4</f>
        <v>現</v>
      </c>
      <c r="N210" s="237" t="str">
        <f>中1【S3】!$N$4</f>
        <v>国　語</v>
      </c>
      <c r="O210" s="238" t="str">
        <f>中1【S3】!$O$4</f>
        <v>単語の分類</v>
      </c>
      <c r="P210" s="238" t="str">
        <f>中1【S3】!$P$4</f>
        <v>現</v>
      </c>
      <c r="Q210" s="237" t="str">
        <f>中1【S3】!$B$9</f>
        <v>国　語</v>
      </c>
      <c r="R210" s="238" t="str">
        <f>中1【S3】!$C$9</f>
        <v>単語の分類</v>
      </c>
      <c r="S210" s="238" t="str">
        <f>中1【S3】!$D$9</f>
        <v>現</v>
      </c>
      <c r="T210" s="235"/>
    </row>
    <row r="211" spans="1:20" ht="24.95" customHeight="1" x14ac:dyDescent="0.15">
      <c r="A211" s="239">
        <f>中1【S3】!$A$5</f>
        <v>2</v>
      </c>
      <c r="B211" s="240" t="str">
        <f>中1【S3】!$B$5</f>
        <v>数　学</v>
      </c>
      <c r="C211" s="241" t="str">
        <f>中1【S3】!$C$5</f>
        <v>資料の活用</v>
      </c>
      <c r="D211" s="241" t="str">
        <f>中1【S3】!$D$5</f>
        <v>現</v>
      </c>
      <c r="E211" s="240" t="str">
        <f>中1【S3】!$E$5</f>
        <v>国　語</v>
      </c>
      <c r="F211" s="241" t="str">
        <f>中1【S3】!$F$5</f>
        <v>言葉の単位</v>
      </c>
      <c r="G211" s="241" t="str">
        <f>中1【S3】!$G$5</f>
        <v>現</v>
      </c>
      <c r="H211" s="240" t="str">
        <f>中1【S3】!$H$5</f>
        <v>数　学</v>
      </c>
      <c r="I211" s="241" t="str">
        <f>中1【S3】!$I$5</f>
        <v>資料の活用</v>
      </c>
      <c r="J211" s="241" t="str">
        <f>中1【S3】!$J$5</f>
        <v>現</v>
      </c>
      <c r="K211" s="240" t="str">
        <f>中1【S3】!$K$5</f>
        <v>数　学</v>
      </c>
      <c r="L211" s="241" t="str">
        <f>中1【S3】!$L$5</f>
        <v>資料の活用</v>
      </c>
      <c r="M211" s="241" t="str">
        <f>中1【S3】!$M$5</f>
        <v>現</v>
      </c>
      <c r="N211" s="240" t="str">
        <f>中1【S3】!$N$5</f>
        <v>社　会</v>
      </c>
      <c r="O211" s="241" t="str">
        <f>中1【S3】!$O$5</f>
        <v>世界から見た日本の自然環境</v>
      </c>
      <c r="P211" s="241" t="str">
        <f>中1【S3】!$P$5</f>
        <v>現</v>
      </c>
      <c r="Q211" s="240" t="str">
        <f>中1【S3】!$B$10</f>
        <v>図　工</v>
      </c>
      <c r="R211" s="241" t="str">
        <f>中1【S3】!$C$10</f>
        <v>学習用具・教科用語</v>
      </c>
      <c r="S211" s="241" t="str">
        <f>中1【S3】!$D$10</f>
        <v>現</v>
      </c>
      <c r="T211" s="235"/>
    </row>
    <row r="212" spans="1:20" ht="24.95" customHeight="1" x14ac:dyDescent="0.15">
      <c r="A212" s="239">
        <f>中1【S3】!$A$6</f>
        <v>3</v>
      </c>
      <c r="B212" s="240" t="str">
        <f>中1【S3】!$B$6</f>
        <v>日本語</v>
      </c>
      <c r="C212" s="241" t="str">
        <f>中1【S3】!$C$6</f>
        <v>語彙</v>
      </c>
      <c r="D212" s="241" t="str">
        <f>中1【S3】!$D$6</f>
        <v>ス</v>
      </c>
      <c r="E212" s="240" t="str">
        <f>中1【S3】!$E$6</f>
        <v>数　学</v>
      </c>
      <c r="F212" s="241" t="str">
        <f>中1【S3】!$F$6</f>
        <v>資料の活用</v>
      </c>
      <c r="G212" s="241" t="str">
        <f>中1【S3】!$G$6</f>
        <v>現</v>
      </c>
      <c r="H212" s="240" t="str">
        <f>中1【S3】!$H$6</f>
        <v>理　科</v>
      </c>
      <c r="I212" s="241" t="str">
        <f>中1【S3】!$I$6</f>
        <v>大地の変動</v>
      </c>
      <c r="J212" s="241" t="str">
        <f>中1【S3】!$J$6</f>
        <v>現</v>
      </c>
      <c r="K212" s="240" t="str">
        <f>中1【S3】!$K$6</f>
        <v>日本語</v>
      </c>
      <c r="L212" s="241" t="str">
        <f>中1【S3】!$L$6</f>
        <v>日本の文化</v>
      </c>
      <c r="M212" s="241" t="str">
        <f>中1【S3】!$M$6</f>
        <v>ス</v>
      </c>
      <c r="N212" s="240" t="str">
        <f>中1【S3】!$N$6</f>
        <v>国　語</v>
      </c>
      <c r="O212" s="241" t="str">
        <f>中1【S3】!$O$6</f>
        <v>単文・複文・重文（小5）</v>
      </c>
      <c r="P212" s="241" t="str">
        <f>中1【S3】!$P$6</f>
        <v>ス</v>
      </c>
      <c r="Q212" s="240" t="str">
        <f>中1【S3】!$B$11</f>
        <v>社　会</v>
      </c>
      <c r="R212" s="241" t="str">
        <f>中1【S3】!$C$11</f>
        <v>学習用具・教科用語</v>
      </c>
      <c r="S212" s="241" t="str">
        <f>中1【S3】!$D$11</f>
        <v>ス</v>
      </c>
      <c r="T212" s="235"/>
    </row>
    <row r="213" spans="1:20" ht="24.95" customHeight="1" x14ac:dyDescent="0.15">
      <c r="A213" s="239">
        <f>中1【S3】!$A$7</f>
        <v>4</v>
      </c>
      <c r="B213" s="240" t="str">
        <f>中1【S3】!$B$7</f>
        <v>理　科</v>
      </c>
      <c r="C213" s="241" t="str">
        <f>中1【S3】!$C$7</f>
        <v>学習用具・教科用語</v>
      </c>
      <c r="D213" s="241" t="str">
        <f>中1【S3】!$D$7</f>
        <v>ス</v>
      </c>
      <c r="E213" s="240" t="str">
        <f>中1【S3】!$E$7</f>
        <v>国　語</v>
      </c>
      <c r="F213" s="241" t="str">
        <f>中1【S3】!$F$7</f>
        <v>言葉を分類する（小3）</v>
      </c>
      <c r="G213" s="241" t="str">
        <f>中1【S3】!$G$7</f>
        <v>ス</v>
      </c>
      <c r="H213" s="240" t="str">
        <f>中1【S3】!$H$7</f>
        <v>算　数</v>
      </c>
      <c r="I213" s="241" t="str">
        <f>中1【S3】!$I$7</f>
        <v>復習</v>
      </c>
      <c r="J213" s="241" t="str">
        <f>中1【S3】!$J$7</f>
        <v>ス</v>
      </c>
      <c r="K213" s="240" t="str">
        <f>中1【S3】!$K$7</f>
        <v>国　語</v>
      </c>
      <c r="L213" s="241" t="str">
        <f>中1【S3】!$L$7</f>
        <v>文・文節（小4）</v>
      </c>
      <c r="M213" s="241" t="str">
        <f>中1【S3】!$M$7</f>
        <v>ス</v>
      </c>
      <c r="N213" s="240" t="str">
        <f>中1【S3】!$N$7</f>
        <v>算　数</v>
      </c>
      <c r="O213" s="241" t="str">
        <f>中1【S3】!$O$7</f>
        <v>資料の調べ方（小6）</v>
      </c>
      <c r="P213" s="241" t="str">
        <f>中1【S3】!$P$7</f>
        <v>ス</v>
      </c>
      <c r="Q213" s="240" t="str">
        <f>中1【S3】!$B$12</f>
        <v>音　楽</v>
      </c>
      <c r="R213" s="241" t="str">
        <f>中1【S3】!$C$12</f>
        <v>学習用具・教科用語</v>
      </c>
      <c r="S213" s="241" t="str">
        <f>中1【S3】!$D$12</f>
        <v>ス</v>
      </c>
      <c r="T213" s="235"/>
    </row>
    <row r="214" spans="1:20" ht="24.95" customHeight="1" x14ac:dyDescent="0.15">
      <c r="A214" s="252"/>
      <c r="B214" s="253"/>
      <c r="C214" s="254"/>
      <c r="D214" s="254"/>
      <c r="E214" s="253"/>
      <c r="F214" s="254"/>
      <c r="G214" s="254"/>
      <c r="H214" s="253"/>
      <c r="I214" s="255"/>
      <c r="J214" s="255"/>
      <c r="K214" s="253"/>
      <c r="L214" s="254"/>
      <c r="M214" s="254"/>
      <c r="N214" s="253"/>
      <c r="O214" s="254"/>
      <c r="P214" s="254"/>
      <c r="Q214" s="253"/>
      <c r="R214" s="254"/>
      <c r="S214" s="254"/>
    </row>
    <row r="215" spans="1:20" ht="24.95" customHeight="1" x14ac:dyDescent="0.15">
      <c r="A215" s="228"/>
      <c r="B215" s="229"/>
      <c r="C215" s="270" t="str">
        <f>中1【S4】!$C$2</f>
        <v>中1　3月　【S4】　指導ユニット　モジュール（現学年・ステップ）配当計画</v>
      </c>
      <c r="D215" s="271"/>
      <c r="E215" s="271"/>
      <c r="F215" s="271"/>
      <c r="G215" s="272"/>
      <c r="H215" s="272"/>
      <c r="I215" s="272"/>
      <c r="J215" s="272"/>
      <c r="K215" s="272"/>
      <c r="L215" s="272"/>
      <c r="M215" s="273"/>
      <c r="N215" s="272"/>
      <c r="O215" s="208"/>
      <c r="P215" s="208"/>
      <c r="Q215" s="229"/>
      <c r="R215" s="208"/>
      <c r="S215" s="208"/>
    </row>
    <row r="216" spans="1:20" ht="24.95" customHeight="1" x14ac:dyDescent="0.15">
      <c r="A216" s="234" t="s">
        <v>191</v>
      </c>
      <c r="B216" s="274" t="s">
        <v>192</v>
      </c>
      <c r="C216" s="275"/>
      <c r="D216" s="276"/>
      <c r="E216" s="274" t="s">
        <v>193</v>
      </c>
      <c r="F216" s="275"/>
      <c r="G216" s="276"/>
      <c r="H216" s="274" t="s">
        <v>194</v>
      </c>
      <c r="I216" s="275"/>
      <c r="J216" s="276"/>
      <c r="K216" s="274" t="s">
        <v>195</v>
      </c>
      <c r="L216" s="275"/>
      <c r="M216" s="276"/>
      <c r="N216" s="245"/>
    </row>
    <row r="217" spans="1:20" ht="24.95" customHeight="1" x14ac:dyDescent="0.15">
      <c r="A217" s="236">
        <f>中1【S4】!$A$4</f>
        <v>1</v>
      </c>
      <c r="B217" s="237" t="str">
        <f>中1【S4】!$B$4</f>
        <v>国　語</v>
      </c>
      <c r="C217" s="238" t="str">
        <f>中1【S4】!$C$4</f>
        <v>言葉の単位</v>
      </c>
      <c r="D217" s="238" t="str">
        <f>中1【S4】!$D$4</f>
        <v>現</v>
      </c>
      <c r="E217" s="237" t="str">
        <f>中1【S4】!$E$4</f>
        <v>国　語</v>
      </c>
      <c r="F217" s="238" t="str">
        <f>中1【S4】!$F$4</f>
        <v>文の組み立て</v>
      </c>
      <c r="G217" s="238" t="str">
        <f>中1【S4】!$G$4</f>
        <v>現</v>
      </c>
      <c r="H217" s="237" t="str">
        <f>中1【S4】!$H$4</f>
        <v>国　語</v>
      </c>
      <c r="I217" s="238" t="str">
        <f>中1【S4】!$I$4</f>
        <v>文の組み立て</v>
      </c>
      <c r="J217" s="238" t="str">
        <f>中1【S4】!$J$4</f>
        <v>現</v>
      </c>
      <c r="K217" s="237" t="str">
        <f>中1【S4】!$K$4</f>
        <v>国　語</v>
      </c>
      <c r="L217" s="238" t="str">
        <f>中1【S4】!$L$4</f>
        <v>単語の分類</v>
      </c>
      <c r="M217" s="238" t="str">
        <f>中1【S4】!$M$4</f>
        <v>現</v>
      </c>
      <c r="N217" s="245"/>
    </row>
    <row r="218" spans="1:20" ht="24.95" customHeight="1" x14ac:dyDescent="0.15">
      <c r="A218" s="239">
        <f>中1【S4】!$A$5</f>
        <v>2</v>
      </c>
      <c r="B218" s="240" t="str">
        <f>中1【S4】!$B$5</f>
        <v>社　会</v>
      </c>
      <c r="C218" s="241" t="str">
        <f>中1【S4】!$C$5</f>
        <v>世界から見た日本の自然環境</v>
      </c>
      <c r="D218" s="241" t="str">
        <f>中1【S4】!$D$5</f>
        <v>現</v>
      </c>
      <c r="E218" s="240" t="str">
        <f>中1【S4】!$E$5</f>
        <v>数　学</v>
      </c>
      <c r="F218" s="241" t="str">
        <f>中1【S4】!$F$5</f>
        <v>資料の活用</v>
      </c>
      <c r="G218" s="241" t="str">
        <f>中1【S4】!$G$5</f>
        <v>現</v>
      </c>
      <c r="H218" s="240" t="str">
        <f>中1【S4】!$H$5</f>
        <v>数　学</v>
      </c>
      <c r="I218" s="241" t="str">
        <f>中1【S4】!$I$5</f>
        <v>資料の活用</v>
      </c>
      <c r="J218" s="241" t="str">
        <f>中1【S4】!$J$5</f>
        <v>現</v>
      </c>
      <c r="K218" s="240" t="str">
        <f>中1【S4】!$K$5</f>
        <v>国　語</v>
      </c>
      <c r="L218" s="241" t="str">
        <f>中1【S4】!$L$5</f>
        <v>単語の分類</v>
      </c>
      <c r="M218" s="241" t="str">
        <f>中1【S4】!$M$5</f>
        <v>現</v>
      </c>
      <c r="N218" s="245"/>
    </row>
    <row r="219" spans="1:20" ht="24.95" customHeight="1" x14ac:dyDescent="0.15">
      <c r="A219" s="239">
        <f>中1【S4】!$A$6</f>
        <v>3</v>
      </c>
      <c r="B219" s="240" t="str">
        <f>中1【S4】!$B$6</f>
        <v>数　学</v>
      </c>
      <c r="C219" s="241" t="str">
        <f>中1【S4】!$C$6</f>
        <v>資料の活用</v>
      </c>
      <c r="D219" s="241" t="str">
        <f>中1【S4】!$D$6</f>
        <v>現</v>
      </c>
      <c r="E219" s="240" t="str">
        <f>中1【S4】!$E$6</f>
        <v>音　楽</v>
      </c>
      <c r="F219" s="241" t="str">
        <f>中1【S4】!$F$6</f>
        <v>学習用具・教科用語</v>
      </c>
      <c r="G219" s="241" t="str">
        <f>中1【S4】!$G$6</f>
        <v>現</v>
      </c>
      <c r="H219" s="240" t="str">
        <f>中1【S4】!$H$6</f>
        <v>理　科</v>
      </c>
      <c r="I219" s="241" t="str">
        <f>中1【S4】!$I$6</f>
        <v>大地の変動</v>
      </c>
      <c r="J219" s="241" t="str">
        <f>中1【S4】!$J$6</f>
        <v>現</v>
      </c>
      <c r="K219" s="240" t="str">
        <f>中1【S4】!$K$6</f>
        <v>理　科</v>
      </c>
      <c r="L219" s="241" t="str">
        <f>中1【S4】!$L$6</f>
        <v>大地の変動</v>
      </c>
      <c r="M219" s="241" t="str">
        <f>中1【S4】!$M$6</f>
        <v>現</v>
      </c>
      <c r="N219" s="245"/>
    </row>
    <row r="220" spans="1:20" ht="24.95" customHeight="1" x14ac:dyDescent="0.15">
      <c r="A220" s="239">
        <f>中1【S4】!$A$7</f>
        <v>4</v>
      </c>
      <c r="B220" s="240" t="str">
        <f>中1【S4】!$B$7</f>
        <v>日本語</v>
      </c>
      <c r="C220" s="241" t="str">
        <f>中1【S4】!$C$7</f>
        <v>語彙</v>
      </c>
      <c r="D220" s="241" t="str">
        <f>中1【S4】!$D$7</f>
        <v>ス</v>
      </c>
      <c r="E220" s="240" t="str">
        <f>中1【S4】!$E$7</f>
        <v>社　会</v>
      </c>
      <c r="F220" s="241" t="str">
        <f>中1【S4】!$F$7</f>
        <v>学習用具・教科用語</v>
      </c>
      <c r="G220" s="241" t="str">
        <f>中1【S4】!$G$7</f>
        <v>ス</v>
      </c>
      <c r="H220" s="240" t="str">
        <f>中1【S4】!$H$7</f>
        <v>算　数</v>
      </c>
      <c r="I220" s="241" t="str">
        <f>中1【S4】!$I$7</f>
        <v>復習</v>
      </c>
      <c r="J220" s="241" t="str">
        <f>中1【S4】!$J$7</f>
        <v>ス</v>
      </c>
      <c r="K220" s="240" t="str">
        <f>中1【S4】!$K$7</f>
        <v>日本語</v>
      </c>
      <c r="L220" s="241" t="str">
        <f>中1【S4】!$L$7</f>
        <v>日本語能力試験</v>
      </c>
      <c r="M220" s="241" t="str">
        <f>中1【S4】!$M$7</f>
        <v>ス</v>
      </c>
      <c r="N220" s="245"/>
    </row>
    <row r="221" spans="1:20" ht="24.95" customHeight="1" x14ac:dyDescent="0.15">
      <c r="A221" s="242"/>
      <c r="B221" s="247"/>
      <c r="C221" s="248"/>
      <c r="D221" s="248"/>
      <c r="E221" s="247"/>
      <c r="F221" s="248"/>
      <c r="G221" s="248"/>
      <c r="H221" s="253"/>
      <c r="I221" s="254"/>
      <c r="J221" s="254"/>
      <c r="K221" s="253"/>
      <c r="L221" s="254"/>
      <c r="M221" s="254"/>
      <c r="N221" s="229"/>
      <c r="O221" s="208"/>
      <c r="P221" s="208"/>
      <c r="Q221" s="229"/>
      <c r="R221" s="208"/>
      <c r="S221" s="208"/>
    </row>
    <row r="222" spans="1:20" ht="24.95" customHeight="1" x14ac:dyDescent="0.15">
      <c r="A222" s="228"/>
      <c r="B222" s="229"/>
      <c r="C222" s="208"/>
      <c r="D222" s="208"/>
      <c r="E222" s="229"/>
      <c r="F222" s="208"/>
      <c r="G222" s="208"/>
      <c r="H222" s="229"/>
      <c r="I222" s="208"/>
      <c r="J222" s="208"/>
      <c r="K222" s="229"/>
      <c r="L222" s="208"/>
      <c r="M222" s="208"/>
      <c r="N222" s="229"/>
      <c r="O222" s="208"/>
      <c r="P222" s="208"/>
      <c r="Q222" s="229"/>
      <c r="R222" s="208"/>
      <c r="S222" s="208"/>
    </row>
    <row r="223" spans="1:20" ht="24.95" customHeight="1" x14ac:dyDescent="0.15">
      <c r="A223" s="228"/>
      <c r="B223" s="230"/>
      <c r="C223" s="270" t="str">
        <f>中2【S2】!$C$2</f>
        <v>中2　3月　【S2】　指導ユニット　モジュール（現学年・ステップ）配当計画</v>
      </c>
      <c r="D223" s="271"/>
      <c r="E223" s="271"/>
      <c r="F223" s="271"/>
      <c r="G223" s="272"/>
      <c r="H223" s="272"/>
      <c r="I223" s="272"/>
      <c r="J223" s="272"/>
      <c r="K223" s="272"/>
      <c r="L223" s="272"/>
      <c r="M223" s="273"/>
      <c r="N223" s="272"/>
      <c r="O223" s="208"/>
      <c r="P223" s="233"/>
      <c r="Q223" s="229"/>
      <c r="R223" s="208"/>
      <c r="S223" s="208"/>
    </row>
    <row r="224" spans="1:20" ht="24.95" customHeight="1" x14ac:dyDescent="0.15">
      <c r="A224" s="234" t="s">
        <v>191</v>
      </c>
      <c r="B224" s="274" t="s">
        <v>192</v>
      </c>
      <c r="C224" s="275"/>
      <c r="D224" s="276"/>
      <c r="E224" s="274" t="s">
        <v>193</v>
      </c>
      <c r="F224" s="275"/>
      <c r="G224" s="276"/>
      <c r="H224" s="274" t="s">
        <v>194</v>
      </c>
      <c r="I224" s="275"/>
      <c r="J224" s="276"/>
      <c r="K224" s="274" t="s">
        <v>195</v>
      </c>
      <c r="L224" s="275"/>
      <c r="M224" s="276"/>
      <c r="N224" s="274" t="s">
        <v>196</v>
      </c>
      <c r="O224" s="275"/>
      <c r="P224" s="276"/>
      <c r="Q224" s="274" t="s">
        <v>197</v>
      </c>
      <c r="R224" s="275"/>
      <c r="S224" s="276"/>
      <c r="T224" s="235"/>
    </row>
    <row r="225" spans="1:20" ht="24.95" customHeight="1" x14ac:dyDescent="0.15">
      <c r="A225" s="236">
        <f>中2【S2】!$A$4</f>
        <v>1</v>
      </c>
      <c r="B225" s="237" t="str">
        <f>中2【S2】!$B$4</f>
        <v>国　語</v>
      </c>
      <c r="C225" s="238" t="str">
        <f>中2【S2】!$C$4</f>
        <v>国語学習の報告書</v>
      </c>
      <c r="D225" s="238" t="str">
        <f>中2【S2】!$D$4</f>
        <v>現</v>
      </c>
      <c r="E225" s="237" t="str">
        <f>中2【S2】!$E$4</f>
        <v>国　語</v>
      </c>
      <c r="F225" s="238" t="str">
        <f>中2【S2】!$F$4</f>
        <v>国語学習の報告書</v>
      </c>
      <c r="G225" s="238" t="str">
        <f>中2【S2】!$G$4</f>
        <v>現</v>
      </c>
      <c r="H225" s="237" t="str">
        <f>中2【S2】!$H$4</f>
        <v>国　語</v>
      </c>
      <c r="I225" s="238" t="str">
        <f>中2【S2】!$I$4</f>
        <v>鍵</v>
      </c>
      <c r="J225" s="238" t="str">
        <f>中2【S2】!$J$4</f>
        <v>現</v>
      </c>
      <c r="K225" s="237" t="str">
        <f>中2【S2】!$K$4</f>
        <v>国　語</v>
      </c>
      <c r="L225" s="238" t="str">
        <f>中2【S2】!$L$4</f>
        <v>鍵</v>
      </c>
      <c r="M225" s="238" t="str">
        <f>中2【S2】!$M$4</f>
        <v>現</v>
      </c>
      <c r="N225" s="237" t="str">
        <f>中2【S2】!$N$4</f>
        <v>理　科</v>
      </c>
      <c r="O225" s="238" t="str">
        <f>中2【S2】!$O$4</f>
        <v>日本の気象</v>
      </c>
      <c r="P225" s="238" t="str">
        <f>中2【S2】!$P$4</f>
        <v>現</v>
      </c>
      <c r="Q225" s="237" t="str">
        <f>中2【S2】!$B$9</f>
        <v>国　語</v>
      </c>
      <c r="R225" s="238" t="str">
        <f>中2【S2】!$C$9</f>
        <v>鍵</v>
      </c>
      <c r="S225" s="238" t="str">
        <f>中2【S2】!$D$9</f>
        <v>現</v>
      </c>
      <c r="T225" s="235"/>
    </row>
    <row r="226" spans="1:20" ht="24.95" customHeight="1" x14ac:dyDescent="0.15">
      <c r="A226" s="239">
        <f>中2【S2】!$A$5</f>
        <v>2</v>
      </c>
      <c r="B226" s="240" t="str">
        <f>中2【S2】!$B$5</f>
        <v>数　学</v>
      </c>
      <c r="C226" s="241" t="str">
        <f>中2【S2】!$C$5</f>
        <v>確立</v>
      </c>
      <c r="D226" s="241" t="str">
        <f>中2【S2】!$D$5</f>
        <v>現</v>
      </c>
      <c r="E226" s="240" t="str">
        <f>中2【S2】!$E$5</f>
        <v>社　会</v>
      </c>
      <c r="F226" s="241" t="str">
        <f>中2【S2】!$F$5</f>
        <v>身近な地域の調査</v>
      </c>
      <c r="G226" s="241" t="str">
        <f>中2【S2】!$G$5</f>
        <v>現</v>
      </c>
      <c r="H226" s="240" t="str">
        <f>中2【S2】!$H$5</f>
        <v>数　学</v>
      </c>
      <c r="I226" s="241" t="str">
        <f>中2【S2】!$I$5</f>
        <v>確立</v>
      </c>
      <c r="J226" s="241" t="str">
        <f>中2【S2】!$J$5</f>
        <v>現</v>
      </c>
      <c r="K226" s="240" t="str">
        <f>中2【S2】!$K$5</f>
        <v>日本語</v>
      </c>
      <c r="L226" s="241" t="str">
        <f>中2【S2】!$L$5</f>
        <v>日本の文化</v>
      </c>
      <c r="M226" s="241" t="str">
        <f>中2【S2】!$M$5</f>
        <v>ス</v>
      </c>
      <c r="N226" s="240" t="str">
        <f>中2【S2】!$N$5</f>
        <v>日本語</v>
      </c>
      <c r="O226" s="241" t="str">
        <f>中2【S2】!$O$5</f>
        <v>語彙</v>
      </c>
      <c r="P226" s="241" t="str">
        <f>中2【S2】!$P$5</f>
        <v>ス</v>
      </c>
      <c r="Q226" s="240" t="str">
        <f>中2【S2】!$B$10</f>
        <v>日本語</v>
      </c>
      <c r="R226" s="241" t="str">
        <f>中2【S2】!$C$10</f>
        <v>学校生活</v>
      </c>
      <c r="S226" s="241" t="str">
        <f>中2【S2】!$D$10</f>
        <v>ス</v>
      </c>
      <c r="T226" s="235"/>
    </row>
    <row r="227" spans="1:20" ht="24.95" customHeight="1" x14ac:dyDescent="0.15">
      <c r="A227" s="239">
        <f>中2【S2】!$A$6</f>
        <v>3</v>
      </c>
      <c r="B227" s="240" t="str">
        <f>中2【S2】!$B$6</f>
        <v>社　会</v>
      </c>
      <c r="C227" s="241" t="str">
        <f>中2【S2】!$C$6</f>
        <v>学習用具・教科用語</v>
      </c>
      <c r="D227" s="241" t="str">
        <f>中2【S2】!$D$6</f>
        <v>ス</v>
      </c>
      <c r="E227" s="240" t="str">
        <f>中2【S2】!$E$6</f>
        <v>日本語</v>
      </c>
      <c r="F227" s="241" t="str">
        <f>中2【S2】!$F$6</f>
        <v>学校生活</v>
      </c>
      <c r="G227" s="241" t="str">
        <f>中2【S2】!$G$6</f>
        <v>ス</v>
      </c>
      <c r="H227" s="240" t="str">
        <f>中2【S2】!$H$6</f>
        <v>日本語</v>
      </c>
      <c r="I227" s="241" t="str">
        <f>中2【S2】!$I$6</f>
        <v>日本語能力試験</v>
      </c>
      <c r="J227" s="241" t="str">
        <f>中2【S2】!$J$6</f>
        <v>ス</v>
      </c>
      <c r="K227" s="240" t="str">
        <f>中2【S2】!$K$6</f>
        <v>日本語</v>
      </c>
      <c r="L227" s="241" t="str">
        <f>中2【S2】!$L$6</f>
        <v>家庭生活</v>
      </c>
      <c r="M227" s="241" t="str">
        <f>中2【S2】!$M$6</f>
        <v>ス</v>
      </c>
      <c r="N227" s="240" t="str">
        <f>中2【S2】!$N$6</f>
        <v>日本語</v>
      </c>
      <c r="O227" s="241" t="str">
        <f>中2【S2】!$O$6</f>
        <v>家庭生活</v>
      </c>
      <c r="P227" s="241" t="str">
        <f>中2【S2】!$P$6</f>
        <v>ス</v>
      </c>
      <c r="Q227" s="240" t="str">
        <f>中2【S2】!$B$11</f>
        <v>図　工</v>
      </c>
      <c r="R227" s="241" t="str">
        <f>中2【S2】!$C$11</f>
        <v>学習用具・教科用語</v>
      </c>
      <c r="S227" s="241" t="str">
        <f>中2【S2】!$D$11</f>
        <v>ス</v>
      </c>
      <c r="T227" s="235"/>
    </row>
    <row r="228" spans="1:20" ht="24.95" customHeight="1" x14ac:dyDescent="0.15">
      <c r="A228" s="239">
        <f>中2【S2】!$A$7</f>
        <v>4</v>
      </c>
      <c r="B228" s="240" t="str">
        <f>中2【S2】!$B$7</f>
        <v>算　数</v>
      </c>
      <c r="C228" s="241" t="str">
        <f>中2【S2】!$C$7</f>
        <v>復習</v>
      </c>
      <c r="D228" s="241" t="str">
        <f>中2【S2】!$D$7</f>
        <v>ス</v>
      </c>
      <c r="E228" s="240" t="str">
        <f>中2【S2】!$E$7</f>
        <v>日本語</v>
      </c>
      <c r="F228" s="241" t="str">
        <f>中2【S2】!$F$7</f>
        <v>語彙</v>
      </c>
      <c r="G228" s="241" t="str">
        <f>中2【S2】!$G$7</f>
        <v>ス</v>
      </c>
      <c r="H228" s="240" t="str">
        <f>中2【S2】!$H$7</f>
        <v>算　数</v>
      </c>
      <c r="I228" s="241" t="str">
        <f>中2【S2】!$I$7</f>
        <v>復習</v>
      </c>
      <c r="J228" s="241" t="str">
        <f>中2【S2】!$J$7</f>
        <v>ス</v>
      </c>
      <c r="K228" s="240" t="str">
        <f>中2【S2】!$K$7</f>
        <v>算　数</v>
      </c>
      <c r="L228" s="241" t="str">
        <f>中2【S2】!$L$7</f>
        <v>割合（小5）</v>
      </c>
      <c r="M228" s="241" t="str">
        <f>中2【S2】!$M$7</f>
        <v>ス</v>
      </c>
      <c r="N228" s="240" t="str">
        <f>中2【S2】!$N$7</f>
        <v>理　科</v>
      </c>
      <c r="O228" s="241" t="str">
        <f>中2【S2】!$O$7</f>
        <v>学習用具・教科用語</v>
      </c>
      <c r="P228" s="241" t="str">
        <f>中2【S2】!$P$7</f>
        <v>ス</v>
      </c>
      <c r="Q228" s="240" t="str">
        <f>中2【S2】!$B$12</f>
        <v>体　育</v>
      </c>
      <c r="R228" s="241" t="str">
        <f>中2【S2】!$C$12</f>
        <v>学習用具・教科用語</v>
      </c>
      <c r="S228" s="241" t="str">
        <f>中2【S2】!$D$12</f>
        <v>ス</v>
      </c>
      <c r="T228" s="235"/>
    </row>
    <row r="229" spans="1:20" ht="24.95" customHeight="1" x14ac:dyDescent="0.15">
      <c r="A229" s="242"/>
      <c r="B229" s="274" t="s">
        <v>198</v>
      </c>
      <c r="C229" s="275"/>
      <c r="D229" s="276"/>
      <c r="E229" s="274" t="s">
        <v>199</v>
      </c>
      <c r="F229" s="275"/>
      <c r="G229" s="276"/>
      <c r="H229" s="243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</row>
    <row r="230" spans="1:20" ht="24.95" customHeight="1" x14ac:dyDescent="0.15">
      <c r="A230" s="236">
        <f>中2【S2】!$A$4</f>
        <v>1</v>
      </c>
      <c r="B230" s="237" t="str">
        <f>中2【S2】!$E$9</f>
        <v>国　語</v>
      </c>
      <c r="C230" s="238" t="str">
        <f>中2【S2】!$F$9</f>
        <v>鍵</v>
      </c>
      <c r="D230" s="238" t="str">
        <f>中2【S2】!$G$9</f>
        <v>現</v>
      </c>
      <c r="E230" s="237" t="str">
        <f>中2【S2】!$H$9</f>
        <v>数　学</v>
      </c>
      <c r="F230" s="238" t="str">
        <f>中2【S2】!$I$9</f>
        <v>確立</v>
      </c>
      <c r="G230" s="238" t="str">
        <f>中2【S2】!$J$9</f>
        <v>現</v>
      </c>
      <c r="H230" s="245"/>
    </row>
    <row r="231" spans="1:20" ht="24.95" customHeight="1" x14ac:dyDescent="0.15">
      <c r="A231" s="239">
        <f>中2【S2】!$A$5</f>
        <v>2</v>
      </c>
      <c r="B231" s="240" t="str">
        <f>中2【S2】!$E$10</f>
        <v>国　語</v>
      </c>
      <c r="C231" s="241" t="str">
        <f>中2【S2】!$F$10</f>
        <v>鍵</v>
      </c>
      <c r="D231" s="241" t="str">
        <f>中2【S2】!$G$10</f>
        <v>現</v>
      </c>
      <c r="E231" s="240" t="str">
        <f>中2【S2】!$H$10</f>
        <v>音　楽</v>
      </c>
      <c r="F231" s="241" t="str">
        <f>中2【S2】!$I$10</f>
        <v>学習用具・教科用語</v>
      </c>
      <c r="G231" s="241" t="str">
        <f>中2【S2】!$J$10</f>
        <v>現</v>
      </c>
      <c r="H231" s="245"/>
    </row>
    <row r="232" spans="1:20" ht="24.95" customHeight="1" x14ac:dyDescent="0.15">
      <c r="A232" s="239">
        <f>中2【S2】!$A$6</f>
        <v>3</v>
      </c>
      <c r="B232" s="240" t="str">
        <f>中2【S2】!$E$11</f>
        <v>社　会</v>
      </c>
      <c r="C232" s="241" t="str">
        <f>中2【S2】!$F$11</f>
        <v>学習用具・教科用語</v>
      </c>
      <c r="D232" s="241" t="str">
        <f>中2【S2】!$G$11</f>
        <v>ス</v>
      </c>
      <c r="E232" s="240" t="str">
        <f>中2【S2】!$H$11</f>
        <v>日本語</v>
      </c>
      <c r="F232" s="241" t="str">
        <f>中2【S2】!$I$11</f>
        <v>語彙</v>
      </c>
      <c r="G232" s="241" t="str">
        <f>中2【S2】!$J$11</f>
        <v>ス</v>
      </c>
      <c r="H232" s="245"/>
    </row>
    <row r="233" spans="1:20" ht="24.95" customHeight="1" x14ac:dyDescent="0.15">
      <c r="A233" s="239">
        <f>中2【S2】!$A$7</f>
        <v>4</v>
      </c>
      <c r="B233" s="240" t="str">
        <f>中2【S2】!$E$12</f>
        <v>算　数</v>
      </c>
      <c r="C233" s="241" t="str">
        <f>中2【S2】!$F$12</f>
        <v>割合（小5）</v>
      </c>
      <c r="D233" s="241" t="str">
        <f>中2【S2】!$G$12</f>
        <v>ス</v>
      </c>
      <c r="E233" s="240" t="str">
        <f>中2【S2】!$H$12</f>
        <v>算　数</v>
      </c>
      <c r="F233" s="241" t="str">
        <f>中2【S2】!$I$12</f>
        <v>割合を使って（小5）</v>
      </c>
      <c r="G233" s="241" t="str">
        <f>中2【S2】!$J$12</f>
        <v>ス</v>
      </c>
      <c r="H233" s="245"/>
    </row>
    <row r="234" spans="1:20" ht="24.95" customHeight="1" x14ac:dyDescent="0.15">
      <c r="A234" s="242"/>
      <c r="B234" s="247"/>
      <c r="C234" s="248"/>
      <c r="D234" s="248"/>
      <c r="E234" s="247"/>
      <c r="F234" s="248"/>
      <c r="G234" s="248"/>
      <c r="H234" s="249"/>
      <c r="I234" s="250"/>
      <c r="J234" s="250"/>
      <c r="K234" s="249"/>
      <c r="L234" s="251"/>
      <c r="M234" s="251"/>
      <c r="N234" s="249"/>
      <c r="O234" s="251"/>
      <c r="P234" s="251"/>
      <c r="Q234" s="229"/>
      <c r="R234" s="208"/>
      <c r="S234" s="208"/>
    </row>
    <row r="235" spans="1:20" ht="24.95" customHeight="1" x14ac:dyDescent="0.15">
      <c r="A235" s="228"/>
      <c r="B235" s="229"/>
      <c r="C235" s="270" t="str">
        <f>中2【S3】!$C$2</f>
        <v>中2　3月　【S3】　指導ユニット　モジュール（現学年・ステップ）配当計画</v>
      </c>
      <c r="D235" s="271"/>
      <c r="E235" s="271"/>
      <c r="F235" s="271"/>
      <c r="G235" s="272"/>
      <c r="H235" s="272"/>
      <c r="I235" s="272"/>
      <c r="J235" s="272"/>
      <c r="K235" s="272"/>
      <c r="L235" s="272"/>
      <c r="M235" s="273"/>
      <c r="N235" s="272"/>
      <c r="O235" s="208"/>
      <c r="P235" s="208"/>
      <c r="Q235" s="229"/>
      <c r="R235" s="208"/>
      <c r="S235" s="208"/>
    </row>
    <row r="236" spans="1:20" ht="24.95" customHeight="1" x14ac:dyDescent="0.15">
      <c r="A236" s="234" t="s">
        <v>191</v>
      </c>
      <c r="B236" s="274" t="s">
        <v>192</v>
      </c>
      <c r="C236" s="275"/>
      <c r="D236" s="276"/>
      <c r="E236" s="274" t="s">
        <v>193</v>
      </c>
      <c r="F236" s="275"/>
      <c r="G236" s="276"/>
      <c r="H236" s="274" t="s">
        <v>194</v>
      </c>
      <c r="I236" s="275"/>
      <c r="J236" s="276"/>
      <c r="K236" s="274" t="s">
        <v>195</v>
      </c>
      <c r="L236" s="275"/>
      <c r="M236" s="276"/>
      <c r="N236" s="274" t="s">
        <v>196</v>
      </c>
      <c r="O236" s="275"/>
      <c r="P236" s="276"/>
      <c r="Q236" s="274" t="s">
        <v>197</v>
      </c>
      <c r="R236" s="275"/>
      <c r="S236" s="276"/>
      <c r="T236" s="235"/>
    </row>
    <row r="237" spans="1:20" ht="24.95" customHeight="1" x14ac:dyDescent="0.15">
      <c r="A237" s="236">
        <f>中2【S3】!$A$4</f>
        <v>1</v>
      </c>
      <c r="B237" s="237" t="str">
        <f>中2【S3】!$B$4</f>
        <v>国　語</v>
      </c>
      <c r="C237" s="238" t="str">
        <f>中2【S3】!$C$4</f>
        <v>国語学習の報告書</v>
      </c>
      <c r="D237" s="238" t="str">
        <f>中2【S3】!$D$4</f>
        <v>現</v>
      </c>
      <c r="E237" s="237" t="str">
        <f>中2【S3】!$E$4</f>
        <v>国　語</v>
      </c>
      <c r="F237" s="238" t="str">
        <f>中2【S3】!$F$4</f>
        <v>国語学習の報告書</v>
      </c>
      <c r="G237" s="238" t="str">
        <f>中2【S3】!$G$4</f>
        <v>現</v>
      </c>
      <c r="H237" s="237" t="str">
        <f>中2【S3】!$H$4</f>
        <v>国　語</v>
      </c>
      <c r="I237" s="238" t="str">
        <f>中2【S3】!$I$4</f>
        <v>鍵</v>
      </c>
      <c r="J237" s="238" t="str">
        <f>中2【S3】!$J$4</f>
        <v>現</v>
      </c>
      <c r="K237" s="237" t="str">
        <f>中2【S3】!$K$4</f>
        <v>国　語</v>
      </c>
      <c r="L237" s="238" t="str">
        <f>中2【S3】!$L$4</f>
        <v>鍵</v>
      </c>
      <c r="M237" s="238" t="str">
        <f>中2【S3】!$M$4</f>
        <v>現</v>
      </c>
      <c r="N237" s="237" t="str">
        <f>中2【S3】!$N$4</f>
        <v>国　語</v>
      </c>
      <c r="O237" s="238" t="str">
        <f>中2【S3】!$O$4</f>
        <v>鍵</v>
      </c>
      <c r="P237" s="238" t="str">
        <f>中2【S3】!$P$4</f>
        <v>現</v>
      </c>
      <c r="Q237" s="237" t="str">
        <f>中2【S3】!$B$9</f>
        <v>国　語</v>
      </c>
      <c r="R237" s="238" t="str">
        <f>中2【S3】!$C$9</f>
        <v>鍵</v>
      </c>
      <c r="S237" s="238" t="str">
        <f>中2【S3】!$D$9</f>
        <v>現</v>
      </c>
      <c r="T237" s="235"/>
    </row>
    <row r="238" spans="1:20" ht="24.95" customHeight="1" x14ac:dyDescent="0.15">
      <c r="A238" s="239">
        <f>中2【S3】!$A$5</f>
        <v>2</v>
      </c>
      <c r="B238" s="240" t="str">
        <f>中2【S3】!$B$5</f>
        <v>数　学</v>
      </c>
      <c r="C238" s="241" t="str">
        <f>中2【S3】!$C$5</f>
        <v>確立</v>
      </c>
      <c r="D238" s="241" t="str">
        <f>中2【S3】!$D$5</f>
        <v>現</v>
      </c>
      <c r="E238" s="240" t="str">
        <f>中2【S3】!$E$5</f>
        <v>国　語</v>
      </c>
      <c r="F238" s="241" t="str">
        <f>中2【S3】!$F$5</f>
        <v>鍵</v>
      </c>
      <c r="G238" s="241" t="str">
        <f>中2【S3】!$G$5</f>
        <v>現</v>
      </c>
      <c r="H238" s="240" t="str">
        <f>中2【S3】!$H$5</f>
        <v>数　学</v>
      </c>
      <c r="I238" s="241" t="str">
        <f>中2【S3】!$I$5</f>
        <v>確立</v>
      </c>
      <c r="J238" s="241" t="str">
        <f>中2【S3】!$J$5</f>
        <v>現</v>
      </c>
      <c r="K238" s="240" t="str">
        <f>中2【S3】!$K$5</f>
        <v>数　学</v>
      </c>
      <c r="L238" s="241" t="str">
        <f>中2【S3】!$L$5</f>
        <v>確立</v>
      </c>
      <c r="M238" s="241" t="str">
        <f>中2【S3】!$M$5</f>
        <v>現</v>
      </c>
      <c r="N238" s="240" t="str">
        <f>中2【S3】!$N$5</f>
        <v>社　会</v>
      </c>
      <c r="O238" s="241" t="str">
        <f>中2【S3】!$O$5</f>
        <v>身近な地域の調査</v>
      </c>
      <c r="P238" s="241" t="str">
        <f>中2【S3】!$P$5</f>
        <v>現</v>
      </c>
      <c r="Q238" s="240" t="str">
        <f>中2【S3】!$B$10</f>
        <v>図　工</v>
      </c>
      <c r="R238" s="241" t="str">
        <f>中2【S3】!$C$10</f>
        <v>学習用具・教科用語</v>
      </c>
      <c r="S238" s="241" t="str">
        <f>中2【S3】!$D$10</f>
        <v>現</v>
      </c>
      <c r="T238" s="235"/>
    </row>
    <row r="239" spans="1:20" ht="24.95" customHeight="1" x14ac:dyDescent="0.15">
      <c r="A239" s="239">
        <f>中2【S3】!$A$6</f>
        <v>3</v>
      </c>
      <c r="B239" s="240" t="str">
        <f>中2【S3】!$B$6</f>
        <v>日本語</v>
      </c>
      <c r="C239" s="241" t="str">
        <f>中2【S3】!$C$6</f>
        <v>語彙</v>
      </c>
      <c r="D239" s="241" t="str">
        <f>中2【S3】!$D$6</f>
        <v>ス</v>
      </c>
      <c r="E239" s="240" t="str">
        <f>中2【S3】!$E$6</f>
        <v>数　学</v>
      </c>
      <c r="F239" s="241" t="str">
        <f>中2【S3】!$F$6</f>
        <v>確立</v>
      </c>
      <c r="G239" s="241" t="str">
        <f>中2【S3】!$G$6</f>
        <v>現</v>
      </c>
      <c r="H239" s="240" t="str">
        <f>中2【S3】!$H$6</f>
        <v>理　科</v>
      </c>
      <c r="I239" s="241" t="str">
        <f>中2【S3】!$I$6</f>
        <v>日本の気象</v>
      </c>
      <c r="J239" s="241" t="str">
        <f>中2【S3】!$J$6</f>
        <v>現</v>
      </c>
      <c r="K239" s="240" t="str">
        <f>中2【S3】!$K$6</f>
        <v>日本語</v>
      </c>
      <c r="L239" s="241" t="str">
        <f>中2【S3】!$L$6</f>
        <v>日本の文化</v>
      </c>
      <c r="M239" s="241" t="str">
        <f>中2【S3】!$M$6</f>
        <v>ス</v>
      </c>
      <c r="N239" s="240" t="str">
        <f>中2【S3】!$N$6</f>
        <v>日本語</v>
      </c>
      <c r="O239" s="241" t="str">
        <f>中2【S3】!$O$6</f>
        <v>語彙</v>
      </c>
      <c r="P239" s="241" t="str">
        <f>中2【S3】!$P$6</f>
        <v>ス</v>
      </c>
      <c r="Q239" s="240" t="str">
        <f>中2【S3】!$B$11</f>
        <v>社　会</v>
      </c>
      <c r="R239" s="241" t="str">
        <f>中2【S3】!$C$11</f>
        <v>学習用具・教科用語</v>
      </c>
      <c r="S239" s="241" t="str">
        <f>中2【S3】!$D$11</f>
        <v>ス</v>
      </c>
      <c r="T239" s="235"/>
    </row>
    <row r="240" spans="1:20" ht="24.95" customHeight="1" x14ac:dyDescent="0.15">
      <c r="A240" s="239">
        <f>中2【S3】!$A$7</f>
        <v>4</v>
      </c>
      <c r="B240" s="240" t="str">
        <f>中2【S3】!$B$7</f>
        <v>理　科</v>
      </c>
      <c r="C240" s="241" t="str">
        <f>中2【S3】!$C$7</f>
        <v>学習用具・教科用語</v>
      </c>
      <c r="D240" s="241" t="str">
        <f>中2【S3】!$D$7</f>
        <v>ス</v>
      </c>
      <c r="E240" s="240" t="str">
        <f>中2【S3】!$E$7</f>
        <v>日本語</v>
      </c>
      <c r="F240" s="241" t="str">
        <f>中2【S3】!$F$7</f>
        <v>日本語能力試験</v>
      </c>
      <c r="G240" s="241" t="str">
        <f>中2【S3】!$G$7</f>
        <v>ス</v>
      </c>
      <c r="H240" s="240" t="str">
        <f>中2【S3】!$H$7</f>
        <v>算　数</v>
      </c>
      <c r="I240" s="241" t="str">
        <f>中2【S3】!$I$7</f>
        <v>割合（小5）</v>
      </c>
      <c r="J240" s="241" t="str">
        <f>中2【S3】!$J$7</f>
        <v>ス</v>
      </c>
      <c r="K240" s="240" t="str">
        <f>中2【S3】!$K$7</f>
        <v>日本語</v>
      </c>
      <c r="L240" s="241" t="str">
        <f>中2【S3】!$L$7</f>
        <v>語彙</v>
      </c>
      <c r="M240" s="241" t="str">
        <f>中2【S3】!$M$7</f>
        <v>ス</v>
      </c>
      <c r="N240" s="240" t="str">
        <f>中2【S3】!$N$7</f>
        <v>算　数</v>
      </c>
      <c r="O240" s="241" t="str">
        <f>中2【S3】!$O$7</f>
        <v>割合を使って（小5）</v>
      </c>
      <c r="P240" s="241" t="str">
        <f>中2【S3】!$P$7</f>
        <v>ス</v>
      </c>
      <c r="Q240" s="240" t="str">
        <f>中2【S3】!$B$12</f>
        <v>音　楽</v>
      </c>
      <c r="R240" s="241" t="str">
        <f>中2【S3】!$C$12</f>
        <v>学習用具・教科用語</v>
      </c>
      <c r="S240" s="241" t="str">
        <f>中2【S3】!$D$12</f>
        <v>ス</v>
      </c>
      <c r="T240" s="235"/>
    </row>
    <row r="241" spans="1:20" ht="24.95" customHeight="1" x14ac:dyDescent="0.15">
      <c r="A241" s="252"/>
      <c r="B241" s="253"/>
      <c r="C241" s="254"/>
      <c r="D241" s="254"/>
      <c r="E241" s="253"/>
      <c r="F241" s="254"/>
      <c r="G241" s="254"/>
      <c r="H241" s="253"/>
      <c r="I241" s="255"/>
      <c r="J241" s="255"/>
      <c r="K241" s="253"/>
      <c r="L241" s="254"/>
      <c r="M241" s="254"/>
      <c r="N241" s="253"/>
      <c r="O241" s="254"/>
      <c r="P241" s="254"/>
      <c r="Q241" s="253"/>
      <c r="R241" s="254"/>
      <c r="S241" s="254"/>
    </row>
    <row r="242" spans="1:20" ht="24.95" customHeight="1" x14ac:dyDescent="0.15">
      <c r="A242" s="228"/>
      <c r="B242" s="229"/>
      <c r="C242" s="270" t="str">
        <f>中2【S4】!$C$2</f>
        <v>中2　3月　【S4】　指導ユニット　モジュール（現学年・ステップ）配当計画</v>
      </c>
      <c r="D242" s="271"/>
      <c r="E242" s="271"/>
      <c r="F242" s="271"/>
      <c r="G242" s="272"/>
      <c r="H242" s="272"/>
      <c r="I242" s="272"/>
      <c r="J242" s="272"/>
      <c r="K242" s="272"/>
      <c r="L242" s="272"/>
      <c r="M242" s="273"/>
      <c r="N242" s="272"/>
      <c r="O242" s="208"/>
      <c r="P242" s="208"/>
      <c r="Q242" s="229"/>
      <c r="R242" s="208"/>
      <c r="S242" s="208"/>
    </row>
    <row r="243" spans="1:20" ht="24.95" customHeight="1" x14ac:dyDescent="0.15">
      <c r="A243" s="234" t="s">
        <v>191</v>
      </c>
      <c r="B243" s="274" t="s">
        <v>192</v>
      </c>
      <c r="C243" s="275"/>
      <c r="D243" s="276"/>
      <c r="E243" s="274" t="s">
        <v>193</v>
      </c>
      <c r="F243" s="275"/>
      <c r="G243" s="276"/>
      <c r="H243" s="274" t="s">
        <v>194</v>
      </c>
      <c r="I243" s="275"/>
      <c r="J243" s="276"/>
      <c r="K243" s="274" t="s">
        <v>195</v>
      </c>
      <c r="L243" s="275"/>
      <c r="M243" s="276"/>
      <c r="N243" s="245"/>
    </row>
    <row r="244" spans="1:20" ht="24.95" customHeight="1" x14ac:dyDescent="0.15">
      <c r="A244" s="236">
        <f>中2【S4】!$A$4</f>
        <v>1</v>
      </c>
      <c r="B244" s="237" t="str">
        <f>中2【S4】!$B$4</f>
        <v>国　語</v>
      </c>
      <c r="C244" s="238" t="str">
        <f>中2【S4】!$C$4</f>
        <v>国語学習の報告書</v>
      </c>
      <c r="D244" s="238" t="str">
        <f>中2【S4】!$D$4</f>
        <v>現</v>
      </c>
      <c r="E244" s="237" t="str">
        <f>中2【S4】!$E$4</f>
        <v>国　語</v>
      </c>
      <c r="F244" s="238" t="str">
        <f>中2【S4】!$F$4</f>
        <v>鍵</v>
      </c>
      <c r="G244" s="238" t="str">
        <f>中2【S4】!$G$4</f>
        <v>現</v>
      </c>
      <c r="H244" s="237" t="str">
        <f>中2【S4】!$H$4</f>
        <v>国　語</v>
      </c>
      <c r="I244" s="238" t="str">
        <f>中2【S4】!$I$4</f>
        <v>鍵</v>
      </c>
      <c r="J244" s="238" t="str">
        <f>中2【S4】!$J$4</f>
        <v>現</v>
      </c>
      <c r="K244" s="237" t="str">
        <f>中2【S4】!$K$4</f>
        <v>国　語</v>
      </c>
      <c r="L244" s="238" t="str">
        <f>中2【S4】!$L$4</f>
        <v>鍵</v>
      </c>
      <c r="M244" s="238" t="str">
        <f>中2【S4】!$M$4</f>
        <v>現</v>
      </c>
      <c r="N244" s="245"/>
    </row>
    <row r="245" spans="1:20" ht="24.95" customHeight="1" x14ac:dyDescent="0.15">
      <c r="A245" s="239">
        <f>中2【S4】!$A$5</f>
        <v>2</v>
      </c>
      <c r="B245" s="240" t="str">
        <f>中2【S4】!$B$5</f>
        <v>社　会</v>
      </c>
      <c r="C245" s="241" t="str">
        <f>中2【S4】!$C$5</f>
        <v>身近な地域の調査</v>
      </c>
      <c r="D245" s="241" t="str">
        <f>中2【S4】!$D$5</f>
        <v>現</v>
      </c>
      <c r="E245" s="240" t="str">
        <f>中2【S4】!$E$5</f>
        <v>数　学</v>
      </c>
      <c r="F245" s="241" t="str">
        <f>中2【S4】!$F$5</f>
        <v>確立</v>
      </c>
      <c r="G245" s="241" t="str">
        <f>中2【S4】!$G$5</f>
        <v>現</v>
      </c>
      <c r="H245" s="240" t="str">
        <f>中2【S4】!$H$5</f>
        <v>数　学</v>
      </c>
      <c r="I245" s="241" t="str">
        <f>中2【S4】!$I$5</f>
        <v>確立</v>
      </c>
      <c r="J245" s="241" t="str">
        <f>中2【S4】!$J$5</f>
        <v>現</v>
      </c>
      <c r="K245" s="240" t="str">
        <f>中2【S4】!$K$5</f>
        <v>国　語</v>
      </c>
      <c r="L245" s="241" t="str">
        <f>中2【S4】!$L$5</f>
        <v>鍵</v>
      </c>
      <c r="M245" s="241" t="str">
        <f>中2【S4】!$M$5</f>
        <v>現</v>
      </c>
      <c r="N245" s="245"/>
    </row>
    <row r="246" spans="1:20" ht="24.95" customHeight="1" x14ac:dyDescent="0.15">
      <c r="A246" s="239">
        <f>中2【S4】!$A$6</f>
        <v>3</v>
      </c>
      <c r="B246" s="240" t="str">
        <f>中2【S4】!$B$6</f>
        <v>数　学</v>
      </c>
      <c r="C246" s="241" t="str">
        <f>中2【S4】!$C$6</f>
        <v>確立</v>
      </c>
      <c r="D246" s="241" t="str">
        <f>中2【S4】!$D$6</f>
        <v>現</v>
      </c>
      <c r="E246" s="240" t="str">
        <f>中2【S4】!$E$6</f>
        <v>音　楽</v>
      </c>
      <c r="F246" s="241" t="str">
        <f>中2【S4】!$F$6</f>
        <v>学習用具・教科用語</v>
      </c>
      <c r="G246" s="241" t="str">
        <f>中2【S4】!$G$6</f>
        <v>現</v>
      </c>
      <c r="H246" s="240" t="str">
        <f>中2【S4】!$H$6</f>
        <v>理　科</v>
      </c>
      <c r="I246" s="241" t="str">
        <f>中2【S4】!$I$6</f>
        <v>日本の気象</v>
      </c>
      <c r="J246" s="241" t="str">
        <f>中2【S4】!$J$6</f>
        <v>現</v>
      </c>
      <c r="K246" s="240" t="str">
        <f>中2【S4】!$K$6</f>
        <v>理　科</v>
      </c>
      <c r="L246" s="241" t="str">
        <f>中2【S4】!$L$6</f>
        <v>日本の気象</v>
      </c>
      <c r="M246" s="241" t="str">
        <f>中2【S4】!$M$6</f>
        <v>現</v>
      </c>
      <c r="N246" s="245"/>
    </row>
    <row r="247" spans="1:20" ht="24.95" customHeight="1" x14ac:dyDescent="0.15">
      <c r="A247" s="239">
        <f>中2【S4】!$A$7</f>
        <v>4</v>
      </c>
      <c r="B247" s="240" t="str">
        <f>中2【S4】!$B$7</f>
        <v>日本語</v>
      </c>
      <c r="C247" s="241" t="str">
        <f>中2【S4】!$C$7</f>
        <v>語彙</v>
      </c>
      <c r="D247" s="241" t="str">
        <f>中2【S4】!$D$7</f>
        <v>ス</v>
      </c>
      <c r="E247" s="240" t="str">
        <f>中2【S4】!$E$7</f>
        <v>社　会</v>
      </c>
      <c r="F247" s="241" t="str">
        <f>中2【S4】!$F$7</f>
        <v>学習用具・教科用語</v>
      </c>
      <c r="G247" s="241" t="str">
        <f>中2【S4】!$G$7</f>
        <v>ス</v>
      </c>
      <c r="H247" s="240" t="str">
        <f>中2【S4】!$H$7</f>
        <v>算　数</v>
      </c>
      <c r="I247" s="241" t="str">
        <f>中2【S4】!$I$7</f>
        <v>割合（小5）</v>
      </c>
      <c r="J247" s="241" t="str">
        <f>中2【S4】!$J$7</f>
        <v>ス</v>
      </c>
      <c r="K247" s="240" t="str">
        <f>中2【S4】!$K$7</f>
        <v>日本語</v>
      </c>
      <c r="L247" s="241" t="str">
        <f>中2【S4】!$L$7</f>
        <v>日本語能力試験</v>
      </c>
      <c r="M247" s="241" t="str">
        <f>中2【S4】!$M$7</f>
        <v>ス</v>
      </c>
      <c r="N247" s="245"/>
    </row>
    <row r="248" spans="1:20" ht="24.95" customHeight="1" x14ac:dyDescent="0.15">
      <c r="A248" s="242"/>
      <c r="B248" s="247"/>
      <c r="C248" s="248"/>
      <c r="D248" s="248"/>
      <c r="E248" s="247"/>
      <c r="F248" s="248"/>
      <c r="G248" s="248"/>
      <c r="H248" s="253"/>
      <c r="I248" s="254"/>
      <c r="J248" s="254"/>
      <c r="K248" s="253"/>
      <c r="L248" s="254"/>
      <c r="M248" s="254"/>
      <c r="N248" s="229"/>
      <c r="O248" s="208"/>
      <c r="P248" s="208"/>
      <c r="Q248" s="229"/>
      <c r="R248" s="208"/>
      <c r="S248" s="208"/>
    </row>
    <row r="249" spans="1:20" ht="24.95" customHeight="1" x14ac:dyDescent="0.15">
      <c r="A249" s="228"/>
      <c r="B249" s="229"/>
      <c r="C249" s="208"/>
      <c r="D249" s="208"/>
      <c r="E249" s="229"/>
      <c r="F249" s="208"/>
      <c r="G249" s="208"/>
      <c r="H249" s="229"/>
      <c r="I249" s="208"/>
      <c r="J249" s="208"/>
      <c r="K249" s="229"/>
      <c r="L249" s="208"/>
      <c r="M249" s="208"/>
      <c r="N249" s="229"/>
      <c r="O249" s="208"/>
      <c r="P249" s="208"/>
      <c r="Q249" s="229"/>
      <c r="R249" s="208"/>
      <c r="S249" s="208"/>
    </row>
    <row r="250" spans="1:20" ht="24.95" customHeight="1" x14ac:dyDescent="0.15">
      <c r="A250" s="228"/>
      <c r="B250" s="230"/>
      <c r="C250" s="270" t="str">
        <f>中3【S2】!$C$2</f>
        <v>中3　3月　【S2】　指導ユニット　モジュール（現学年・ステップ）配当計画</v>
      </c>
      <c r="D250" s="271"/>
      <c r="E250" s="271"/>
      <c r="F250" s="271"/>
      <c r="G250" s="272"/>
      <c r="H250" s="272"/>
      <c r="I250" s="272"/>
      <c r="J250" s="272"/>
      <c r="K250" s="272"/>
      <c r="L250" s="272"/>
      <c r="M250" s="273"/>
      <c r="N250" s="272"/>
      <c r="O250" s="208"/>
      <c r="P250" s="233"/>
      <c r="Q250" s="229"/>
      <c r="R250" s="208"/>
      <c r="S250" s="208"/>
    </row>
    <row r="251" spans="1:20" ht="24.95" customHeight="1" x14ac:dyDescent="0.15">
      <c r="A251" s="234" t="s">
        <v>191</v>
      </c>
      <c r="B251" s="274" t="s">
        <v>192</v>
      </c>
      <c r="C251" s="275"/>
      <c r="D251" s="276"/>
      <c r="E251" s="274" t="s">
        <v>193</v>
      </c>
      <c r="F251" s="275"/>
      <c r="G251" s="276"/>
      <c r="H251" s="274" t="s">
        <v>194</v>
      </c>
      <c r="I251" s="275"/>
      <c r="J251" s="276"/>
      <c r="K251" s="274" t="s">
        <v>195</v>
      </c>
      <c r="L251" s="275"/>
      <c r="M251" s="276"/>
      <c r="N251" s="274" t="s">
        <v>196</v>
      </c>
      <c r="O251" s="275"/>
      <c r="P251" s="276"/>
      <c r="Q251" s="274" t="s">
        <v>197</v>
      </c>
      <c r="R251" s="275"/>
      <c r="S251" s="276"/>
      <c r="T251" s="235"/>
    </row>
    <row r="252" spans="1:20" ht="24.95" customHeight="1" x14ac:dyDescent="0.15">
      <c r="A252" s="236">
        <f>中3【S2】!$A$4</f>
        <v>1</v>
      </c>
      <c r="B252" s="237" t="str">
        <f>中3【S2】!$B$4</f>
        <v>数　学</v>
      </c>
      <c r="C252" s="238" t="str">
        <f>中3【S2】!$C$4</f>
        <v>学びについて語り合う</v>
      </c>
      <c r="D252" s="238" t="str">
        <f>中3【S2】!$D$4</f>
        <v>現</v>
      </c>
      <c r="E252" s="237" t="str">
        <f>中3【S2】!$E$4</f>
        <v>国　語</v>
      </c>
      <c r="F252" s="238" t="str">
        <f>中3【S2】!$F$4</f>
        <v>学びについて語り合う</v>
      </c>
      <c r="G252" s="238" t="str">
        <f>中3【S2】!$G$4</f>
        <v>現</v>
      </c>
      <c r="H252" s="237" t="str">
        <f>中3【S2】!$H$4</f>
        <v>国　語</v>
      </c>
      <c r="I252" s="238" t="str">
        <f>中3【S2】!$I$4</f>
        <v>学びについて語り合う</v>
      </c>
      <c r="J252" s="238" t="str">
        <f>中3【S2】!$J$4</f>
        <v>現</v>
      </c>
      <c r="K252" s="237" t="str">
        <f>中3【S2】!$K$4</f>
        <v>国　語</v>
      </c>
      <c r="L252" s="238" t="str">
        <f>中3【S2】!$L$4</f>
        <v>学びについて語り合う</v>
      </c>
      <c r="M252" s="238" t="str">
        <f>中3【S2】!$M$4</f>
        <v>現</v>
      </c>
      <c r="N252" s="237" t="str">
        <f>中3【S2】!$N$4</f>
        <v>理　科</v>
      </c>
      <c r="O252" s="238" t="str">
        <f>中3【S2】!$O$4</f>
        <v>これからのくらしを考えよう</v>
      </c>
      <c r="P252" s="238" t="str">
        <f>中3【S2】!$P$4</f>
        <v>現</v>
      </c>
      <c r="Q252" s="237" t="str">
        <f>中3【S2】!$B$9</f>
        <v>国　語</v>
      </c>
      <c r="R252" s="238" t="str">
        <f>中3【S2】!$C$9</f>
        <v>学びについて語り合う</v>
      </c>
      <c r="S252" s="238" t="str">
        <f>中3【S2】!$D$9</f>
        <v>現</v>
      </c>
      <c r="T252" s="235"/>
    </row>
    <row r="253" spans="1:20" ht="24.95" customHeight="1" x14ac:dyDescent="0.15">
      <c r="A253" s="239">
        <f>中3【S2】!$A$5</f>
        <v>2</v>
      </c>
      <c r="B253" s="240" t="str">
        <f>中3【S2】!$B$5</f>
        <v>算　数</v>
      </c>
      <c r="C253" s="241" t="str">
        <f>中3【S2】!$C$5</f>
        <v>標本調査</v>
      </c>
      <c r="D253" s="241" t="str">
        <f>中3【S2】!$D$5</f>
        <v>現</v>
      </c>
      <c r="E253" s="240" t="str">
        <f>中3【S2】!$E$5</f>
        <v>社　会</v>
      </c>
      <c r="F253" s="241" t="str">
        <f>中3【S2】!$F$5</f>
        <v>より良い社会を目指して</v>
      </c>
      <c r="G253" s="241" t="str">
        <f>中3【S2】!$G$5</f>
        <v>現</v>
      </c>
      <c r="H253" s="240" t="str">
        <f>中3【S2】!$H$5</f>
        <v>数　学</v>
      </c>
      <c r="I253" s="241" t="str">
        <f>中3【S2】!$I$5</f>
        <v>標本調査</v>
      </c>
      <c r="J253" s="241" t="str">
        <f>中3【S2】!$J$5</f>
        <v>現</v>
      </c>
      <c r="K253" s="240" t="str">
        <f>中3【S2】!$K$5</f>
        <v>日本語</v>
      </c>
      <c r="L253" s="241" t="str">
        <f>中3【S2】!$L$5</f>
        <v>日本の文化</v>
      </c>
      <c r="M253" s="241" t="str">
        <f>中3【S2】!$M$5</f>
        <v>ス</v>
      </c>
      <c r="N253" s="240" t="str">
        <f>中3【S2】!$N$5</f>
        <v>日本語</v>
      </c>
      <c r="O253" s="241" t="str">
        <f>中3【S2】!$O$5</f>
        <v>語彙</v>
      </c>
      <c r="P253" s="241" t="str">
        <f>中3【S2】!$P$5</f>
        <v>ス</v>
      </c>
      <c r="Q253" s="240" t="str">
        <f>中3【S2】!$B$10</f>
        <v>日本語</v>
      </c>
      <c r="R253" s="241" t="str">
        <f>中3【S2】!$C$10</f>
        <v>家庭生活</v>
      </c>
      <c r="S253" s="241" t="str">
        <f>中3【S2】!$D$10</f>
        <v>ス</v>
      </c>
      <c r="T253" s="235"/>
    </row>
    <row r="254" spans="1:20" ht="24.95" customHeight="1" x14ac:dyDescent="0.15">
      <c r="A254" s="239">
        <f>中3【S2】!$A$6</f>
        <v>3</v>
      </c>
      <c r="B254" s="240" t="str">
        <f>中3【S2】!$B$6</f>
        <v>社　会</v>
      </c>
      <c r="C254" s="241" t="str">
        <f>中3【S2】!$C$6</f>
        <v>学習用具・教科用語</v>
      </c>
      <c r="D254" s="241" t="str">
        <f>中3【S2】!$D$6</f>
        <v>ス</v>
      </c>
      <c r="E254" s="240" t="str">
        <f>中3【S2】!$E$6</f>
        <v>日本語</v>
      </c>
      <c r="F254" s="241" t="str">
        <f>中3【S2】!$F$6</f>
        <v>学校生活</v>
      </c>
      <c r="G254" s="241" t="str">
        <f>中3【S2】!$G$6</f>
        <v>ス</v>
      </c>
      <c r="H254" s="240" t="str">
        <f>中3【S2】!$H$6</f>
        <v>日本語</v>
      </c>
      <c r="I254" s="241" t="str">
        <f>中3【S2】!$I$6</f>
        <v>日本語能力試験</v>
      </c>
      <c r="J254" s="241" t="str">
        <f>中3【S2】!$J$6</f>
        <v>ス</v>
      </c>
      <c r="K254" s="240" t="str">
        <f>中3【S2】!$K$6</f>
        <v>日本語</v>
      </c>
      <c r="L254" s="241" t="str">
        <f>中3【S2】!$L$6</f>
        <v>家庭生活</v>
      </c>
      <c r="M254" s="241" t="str">
        <f>中3【S2】!$M$6</f>
        <v>ス</v>
      </c>
      <c r="N254" s="240" t="str">
        <f>中3【S2】!$N$6</f>
        <v>日本語</v>
      </c>
      <c r="O254" s="241" t="str">
        <f>中3【S2】!$O$6</f>
        <v>学校生活</v>
      </c>
      <c r="P254" s="241" t="str">
        <f>中3【S2】!$P$6</f>
        <v>ス</v>
      </c>
      <c r="Q254" s="240" t="str">
        <f>中3【S2】!$B$11</f>
        <v>図　工</v>
      </c>
      <c r="R254" s="241" t="str">
        <f>中3【S2】!$C$11</f>
        <v>学習用具・教科用語</v>
      </c>
      <c r="S254" s="241" t="str">
        <f>中3【S2】!$D$11</f>
        <v>ス</v>
      </c>
      <c r="T254" s="235"/>
    </row>
    <row r="255" spans="1:20" ht="24.95" customHeight="1" x14ac:dyDescent="0.15">
      <c r="A255" s="239">
        <f>中3【S2】!$A$7</f>
        <v>4</v>
      </c>
      <c r="B255" s="240" t="str">
        <f>中3【S2】!$B$7</f>
        <v>算　数</v>
      </c>
      <c r="C255" s="241" t="str">
        <f>中3【S2】!$C$7</f>
        <v>復習</v>
      </c>
      <c r="D255" s="241" t="str">
        <f>中3【S2】!$D$7</f>
        <v>ス</v>
      </c>
      <c r="E255" s="240" t="str">
        <f>中3【S2】!$E$7</f>
        <v>日本語</v>
      </c>
      <c r="F255" s="241" t="str">
        <f>中3【S2】!$F$7</f>
        <v>語彙</v>
      </c>
      <c r="G255" s="241" t="str">
        <f>中3【S2】!$G$7</f>
        <v>ス</v>
      </c>
      <c r="H255" s="240" t="str">
        <f>中3【S2】!$H$7</f>
        <v>算　数</v>
      </c>
      <c r="I255" s="241" t="str">
        <f>中3【S2】!$I$7</f>
        <v>表とグラフ（小3）</v>
      </c>
      <c r="J255" s="241" t="str">
        <f>中3【S2】!$J$7</f>
        <v>ス</v>
      </c>
      <c r="K255" s="240" t="str">
        <f>中3【S2】!$K$7</f>
        <v>算　数</v>
      </c>
      <c r="L255" s="241" t="str">
        <f>中3【S2】!$L$7</f>
        <v>調べ方と整理のしかた（小4）</v>
      </c>
      <c r="M255" s="241" t="str">
        <f>中3【S2】!$M$7</f>
        <v>ス</v>
      </c>
      <c r="N255" s="240" t="str">
        <f>中3【S2】!$N$7</f>
        <v>理　科</v>
      </c>
      <c r="O255" s="241" t="str">
        <f>中3【S2】!$O$7</f>
        <v>学習用具・教科用語</v>
      </c>
      <c r="P255" s="241" t="str">
        <f>中3【S2】!$P$7</f>
        <v>ス</v>
      </c>
      <c r="Q255" s="240" t="str">
        <f>中3【S2】!$B$12</f>
        <v>体　育</v>
      </c>
      <c r="R255" s="241" t="str">
        <f>中3【S2】!$C$12</f>
        <v>学習用具・教科用語</v>
      </c>
      <c r="S255" s="241" t="str">
        <f>中3【S2】!$D$12</f>
        <v>ス</v>
      </c>
      <c r="T255" s="235"/>
    </row>
    <row r="256" spans="1:20" ht="24.95" customHeight="1" x14ac:dyDescent="0.15">
      <c r="A256" s="242"/>
      <c r="B256" s="274" t="s">
        <v>198</v>
      </c>
      <c r="C256" s="275"/>
      <c r="D256" s="276"/>
      <c r="E256" s="274" t="s">
        <v>199</v>
      </c>
      <c r="F256" s="275"/>
      <c r="G256" s="276"/>
      <c r="H256" s="243"/>
      <c r="I256" s="244"/>
      <c r="J256" s="244"/>
      <c r="K256" s="244"/>
      <c r="L256" s="244"/>
      <c r="M256" s="244"/>
      <c r="N256" s="244"/>
      <c r="O256" s="244"/>
      <c r="P256" s="244"/>
      <c r="Q256" s="244"/>
      <c r="R256" s="244"/>
      <c r="S256" s="244"/>
    </row>
    <row r="257" spans="1:20" ht="24.95" customHeight="1" x14ac:dyDescent="0.15">
      <c r="A257" s="236">
        <f>中3【S2】!$A$4</f>
        <v>1</v>
      </c>
      <c r="B257" s="237" t="str">
        <f>中3【S2】!$E$9</f>
        <v>国　語</v>
      </c>
      <c r="C257" s="238" t="str">
        <f>中3【S2】!$F$9</f>
        <v>学びについて語り合う</v>
      </c>
      <c r="D257" s="238" t="str">
        <f>中3【S2】!$G$9</f>
        <v>現</v>
      </c>
      <c r="E257" s="237" t="str">
        <f>中3【S2】!$H$9</f>
        <v>数　学</v>
      </c>
      <c r="F257" s="238" t="str">
        <f>中3【S2】!$I$9</f>
        <v>標本調査</v>
      </c>
      <c r="G257" s="238" t="str">
        <f>中3【S2】!$J$9</f>
        <v>現</v>
      </c>
      <c r="H257" s="245"/>
    </row>
    <row r="258" spans="1:20" ht="24.95" customHeight="1" x14ac:dyDescent="0.15">
      <c r="A258" s="239">
        <f>中3【S2】!$A$5</f>
        <v>2</v>
      </c>
      <c r="B258" s="240" t="str">
        <f>中3【S2】!$E$10</f>
        <v>国　語</v>
      </c>
      <c r="C258" s="241" t="str">
        <f>中3【S2】!$F$10</f>
        <v>学びについて語り合う</v>
      </c>
      <c r="D258" s="241" t="str">
        <f>中3【S2】!$G$10</f>
        <v>現</v>
      </c>
      <c r="E258" s="240" t="str">
        <f>中3【S2】!$H$10</f>
        <v>音　楽</v>
      </c>
      <c r="F258" s="241" t="str">
        <f>中3【S2】!$I$10</f>
        <v>学習用具・教科用語</v>
      </c>
      <c r="G258" s="241" t="str">
        <f>中3【S2】!$J$10</f>
        <v>現</v>
      </c>
      <c r="H258" s="245"/>
    </row>
    <row r="259" spans="1:20" ht="24.95" customHeight="1" x14ac:dyDescent="0.15">
      <c r="A259" s="239">
        <f>中3【S2】!$A$6</f>
        <v>3</v>
      </c>
      <c r="B259" s="240" t="str">
        <f>中3【S2】!$E$11</f>
        <v>社　会</v>
      </c>
      <c r="C259" s="241" t="str">
        <f>中3【S2】!$F$11</f>
        <v>学習用具・教科用語</v>
      </c>
      <c r="D259" s="241" t="str">
        <f>中3【S2】!$G$11</f>
        <v>ス</v>
      </c>
      <c r="E259" s="240" t="str">
        <f>中3【S2】!$H$11</f>
        <v>日本語</v>
      </c>
      <c r="F259" s="241" t="str">
        <f>中3【S2】!$I$11</f>
        <v>語彙</v>
      </c>
      <c r="G259" s="241" t="str">
        <f>中3【S2】!$J$11</f>
        <v>ス</v>
      </c>
      <c r="H259" s="245"/>
    </row>
    <row r="260" spans="1:20" ht="24.95" customHeight="1" x14ac:dyDescent="0.15">
      <c r="A260" s="239">
        <f>中3【S2】!$A$7</f>
        <v>4</v>
      </c>
      <c r="B260" s="240" t="str">
        <f>中3【S2】!$E$12</f>
        <v>算　数</v>
      </c>
      <c r="C260" s="241" t="str">
        <f>中3【S2】!$F$12</f>
        <v>変わり方 （小4）</v>
      </c>
      <c r="D260" s="241" t="str">
        <f>中3【S2】!$G$12</f>
        <v>ス</v>
      </c>
      <c r="E260" s="240" t="str">
        <f>中3【S2】!$H$12</f>
        <v>算　数</v>
      </c>
      <c r="F260" s="241" t="str">
        <f>中3【S2】!$I$12</f>
        <v>変わり方を調べて（小6）</v>
      </c>
      <c r="G260" s="241" t="str">
        <f>中3【S2】!$J$12</f>
        <v>ス</v>
      </c>
      <c r="H260" s="245"/>
    </row>
    <row r="261" spans="1:20" ht="24.95" customHeight="1" x14ac:dyDescent="0.15">
      <c r="A261" s="242"/>
      <c r="B261" s="247"/>
      <c r="C261" s="248"/>
      <c r="D261" s="248"/>
      <c r="E261" s="247"/>
      <c r="F261" s="248"/>
      <c r="G261" s="248"/>
      <c r="H261" s="249"/>
      <c r="I261" s="250"/>
      <c r="J261" s="250"/>
      <c r="K261" s="249"/>
      <c r="L261" s="251"/>
      <c r="M261" s="251"/>
      <c r="N261" s="249"/>
      <c r="O261" s="251"/>
      <c r="P261" s="251"/>
      <c r="Q261" s="229"/>
      <c r="R261" s="208"/>
      <c r="S261" s="208"/>
    </row>
    <row r="262" spans="1:20" ht="24.95" customHeight="1" x14ac:dyDescent="0.15">
      <c r="A262" s="228"/>
      <c r="B262" s="229"/>
      <c r="C262" s="270" t="str">
        <f>中3【S3】!$C$2</f>
        <v>中3　3月　【S3】　指導ユニット　モジュール（現学年・ステップ）配当計画</v>
      </c>
      <c r="D262" s="271"/>
      <c r="E262" s="271"/>
      <c r="F262" s="271"/>
      <c r="G262" s="272"/>
      <c r="H262" s="272"/>
      <c r="I262" s="272"/>
      <c r="J262" s="272"/>
      <c r="K262" s="272"/>
      <c r="L262" s="272"/>
      <c r="M262" s="273"/>
      <c r="N262" s="272"/>
      <c r="O262" s="208"/>
      <c r="P262" s="208"/>
      <c r="Q262" s="229"/>
      <c r="R262" s="208"/>
      <c r="S262" s="208"/>
    </row>
    <row r="263" spans="1:20" ht="24.95" customHeight="1" x14ac:dyDescent="0.15">
      <c r="A263" s="234" t="s">
        <v>191</v>
      </c>
      <c r="B263" s="274" t="s">
        <v>192</v>
      </c>
      <c r="C263" s="275"/>
      <c r="D263" s="276"/>
      <c r="E263" s="274" t="s">
        <v>193</v>
      </c>
      <c r="F263" s="275"/>
      <c r="G263" s="276"/>
      <c r="H263" s="274" t="s">
        <v>194</v>
      </c>
      <c r="I263" s="275"/>
      <c r="J263" s="276"/>
      <c r="K263" s="274" t="s">
        <v>195</v>
      </c>
      <c r="L263" s="275"/>
      <c r="M263" s="276"/>
      <c r="N263" s="274" t="s">
        <v>196</v>
      </c>
      <c r="O263" s="275"/>
      <c r="P263" s="276"/>
      <c r="Q263" s="274" t="s">
        <v>197</v>
      </c>
      <c r="R263" s="275"/>
      <c r="S263" s="276"/>
      <c r="T263" s="235"/>
    </row>
    <row r="264" spans="1:20" ht="24.95" customHeight="1" x14ac:dyDescent="0.15">
      <c r="A264" s="236">
        <f>中3【S3】!$A$4</f>
        <v>1</v>
      </c>
      <c r="B264" s="237" t="str">
        <f>中3【S3】!$B$4</f>
        <v>国　語</v>
      </c>
      <c r="C264" s="238" t="str">
        <f>中3【S3】!$C$4</f>
        <v>学びについて語り合う</v>
      </c>
      <c r="D264" s="238" t="str">
        <f>中3【S3】!$D$4</f>
        <v>現</v>
      </c>
      <c r="E264" s="237" t="str">
        <f>中3【S3】!$E$4</f>
        <v>国　語</v>
      </c>
      <c r="F264" s="238" t="str">
        <f>中3【S3】!$F$4</f>
        <v>学びについて語り合う</v>
      </c>
      <c r="G264" s="238" t="str">
        <f>中3【S3】!$G$4</f>
        <v>現</v>
      </c>
      <c r="H264" s="237" t="str">
        <f>中3【S3】!$H$4</f>
        <v>国　語</v>
      </c>
      <c r="I264" s="238" t="str">
        <f>中3【S3】!$I$4</f>
        <v>学びについて語り合う</v>
      </c>
      <c r="J264" s="238" t="str">
        <f>中3【S3】!$J$4</f>
        <v>現</v>
      </c>
      <c r="K264" s="237" t="str">
        <f>中3【S3】!$K$4</f>
        <v>国　語</v>
      </c>
      <c r="L264" s="238" t="str">
        <f>中3【S3】!$L$4</f>
        <v>学びについて語り合う</v>
      </c>
      <c r="M264" s="238" t="str">
        <f>中3【S3】!$M$4</f>
        <v>現</v>
      </c>
      <c r="N264" s="237" t="str">
        <f>中3【S3】!$N$4</f>
        <v>国　語</v>
      </c>
      <c r="O264" s="238" t="str">
        <f>中3【S3】!$O$4</f>
        <v>学びについて語り合う</v>
      </c>
      <c r="P264" s="238" t="str">
        <f>中3【S3】!$P$4</f>
        <v>現</v>
      </c>
      <c r="Q264" s="237" t="str">
        <f>中3【S3】!$B$9</f>
        <v>国　語</v>
      </c>
      <c r="R264" s="238" t="str">
        <f>中3【S3】!$C$9</f>
        <v>学びについて語り合う</v>
      </c>
      <c r="S264" s="238" t="str">
        <f>中3【S3】!$D$9</f>
        <v>現</v>
      </c>
      <c r="T264" s="235"/>
    </row>
    <row r="265" spans="1:20" ht="24.95" customHeight="1" x14ac:dyDescent="0.15">
      <c r="A265" s="239">
        <f>中3【S3】!$A$5</f>
        <v>2</v>
      </c>
      <c r="B265" s="240" t="str">
        <f>中3【S3】!$B$5</f>
        <v>数　学</v>
      </c>
      <c r="C265" s="241" t="str">
        <f>中3【S3】!$C$5</f>
        <v>標本調査</v>
      </c>
      <c r="D265" s="241" t="str">
        <f>中3【S3】!$D$5</f>
        <v>現</v>
      </c>
      <c r="E265" s="240" t="str">
        <f>中3【S3】!$E$5</f>
        <v>国　語</v>
      </c>
      <c r="F265" s="241" t="str">
        <f>中3【S3】!$F$5</f>
        <v>学びについて語り合う</v>
      </c>
      <c r="G265" s="241" t="str">
        <f>中3【S3】!$G$5</f>
        <v>現</v>
      </c>
      <c r="H265" s="240" t="str">
        <f>中3【S3】!$H$5</f>
        <v>数　学</v>
      </c>
      <c r="I265" s="241" t="str">
        <f>中3【S3】!$I$5</f>
        <v>標本調査</v>
      </c>
      <c r="J265" s="241" t="str">
        <f>中3【S3】!$J$5</f>
        <v>現</v>
      </c>
      <c r="K265" s="240" t="str">
        <f>中3【S3】!$K$5</f>
        <v>数　学</v>
      </c>
      <c r="L265" s="241" t="str">
        <f>中3【S3】!$L$5</f>
        <v>標本調査</v>
      </c>
      <c r="M265" s="241" t="str">
        <f>中3【S3】!$M$5</f>
        <v>現</v>
      </c>
      <c r="N265" s="240" t="str">
        <f>中3【S3】!$N$5</f>
        <v>社　会</v>
      </c>
      <c r="O265" s="241" t="str">
        <f>中3【S3】!$O$5</f>
        <v>より良い社会を目指して</v>
      </c>
      <c r="P265" s="241" t="str">
        <f>中3【S3】!$P$5</f>
        <v>現</v>
      </c>
      <c r="Q265" s="240" t="str">
        <f>中3【S3】!$B$10</f>
        <v>図　工</v>
      </c>
      <c r="R265" s="241" t="str">
        <f>中3【S3】!$C$10</f>
        <v>学習用具・教科用語</v>
      </c>
      <c r="S265" s="241" t="str">
        <f>中3【S3】!$D$10</f>
        <v>現</v>
      </c>
      <c r="T265" s="235"/>
    </row>
    <row r="266" spans="1:20" ht="24.95" customHeight="1" x14ac:dyDescent="0.15">
      <c r="A266" s="239">
        <f>中3【S3】!$A$6</f>
        <v>3</v>
      </c>
      <c r="B266" s="240" t="str">
        <f>中3【S3】!$B$6</f>
        <v>社　会</v>
      </c>
      <c r="C266" s="241" t="str">
        <f>中3【S3】!$C$6</f>
        <v>学習用具・教科用語</v>
      </c>
      <c r="D266" s="241" t="str">
        <f>中3【S3】!$D$6</f>
        <v>ス</v>
      </c>
      <c r="E266" s="240" t="str">
        <f>中3【S3】!$E$6</f>
        <v>数　学</v>
      </c>
      <c r="F266" s="241" t="str">
        <f>中3【S3】!$F$6</f>
        <v>標本調査</v>
      </c>
      <c r="G266" s="241" t="str">
        <f>中3【S3】!$G$6</f>
        <v>現</v>
      </c>
      <c r="H266" s="240" t="str">
        <f>中3【S3】!$H$6</f>
        <v>理　科</v>
      </c>
      <c r="I266" s="241" t="str">
        <f>中3【S3】!$I$6</f>
        <v>これからのくらしを考えよう</v>
      </c>
      <c r="J266" s="241" t="str">
        <f>中3【S3】!$J$6</f>
        <v>現</v>
      </c>
      <c r="K266" s="240" t="str">
        <f>中3【S3】!$K$6</f>
        <v>日本語</v>
      </c>
      <c r="L266" s="241" t="str">
        <f>中3【S3】!$L$6</f>
        <v>日本の文化</v>
      </c>
      <c r="M266" s="241" t="str">
        <f>中3【S3】!$M$6</f>
        <v>ス</v>
      </c>
      <c r="N266" s="240" t="str">
        <f>中3【S3】!$N$6</f>
        <v>日本語</v>
      </c>
      <c r="O266" s="241" t="str">
        <f>中3【S3】!$O$6</f>
        <v>語彙</v>
      </c>
      <c r="P266" s="241" t="str">
        <f>中3【S3】!$P$6</f>
        <v>ス</v>
      </c>
      <c r="Q266" s="240" t="str">
        <f>中3【S3】!$B$11</f>
        <v>日本語</v>
      </c>
      <c r="R266" s="241" t="str">
        <f>中3【S3】!$C$11</f>
        <v>学校生活</v>
      </c>
      <c r="S266" s="241" t="str">
        <f>中3【S3】!$D$11</f>
        <v>ス</v>
      </c>
      <c r="T266" s="235"/>
    </row>
    <row r="267" spans="1:20" ht="24.95" customHeight="1" x14ac:dyDescent="0.15">
      <c r="A267" s="239">
        <f>中3【S3】!$A$7</f>
        <v>4</v>
      </c>
      <c r="B267" s="240" t="str">
        <f>中3【S3】!$B$7</f>
        <v>理　科</v>
      </c>
      <c r="C267" s="241" t="str">
        <f>中3【S3】!$C$7</f>
        <v>学習用具・教科用語</v>
      </c>
      <c r="D267" s="241" t="str">
        <f>中3【S3】!$D$7</f>
        <v>ス</v>
      </c>
      <c r="E267" s="240" t="str">
        <f>中3【S3】!$E$7</f>
        <v>日本語</v>
      </c>
      <c r="F267" s="241" t="str">
        <f>中3【S3】!$F$7</f>
        <v>日本語能力試験</v>
      </c>
      <c r="G267" s="241" t="str">
        <f>中3【S3】!$G$7</f>
        <v>ス</v>
      </c>
      <c r="H267" s="240" t="str">
        <f>中3【S3】!$H$7</f>
        <v>算　数</v>
      </c>
      <c r="I267" s="241" t="str">
        <f>中3【S3】!$I$7</f>
        <v>調べ方と整理のしかた（小4）</v>
      </c>
      <c r="J267" s="241" t="str">
        <f>中3【S3】!$J$7</f>
        <v>ス</v>
      </c>
      <c r="K267" s="240" t="str">
        <f>中3【S3】!$K$7</f>
        <v>日本語</v>
      </c>
      <c r="L267" s="241" t="str">
        <f>中3【S3】!$L$7</f>
        <v>語彙</v>
      </c>
      <c r="M267" s="241" t="str">
        <f>中3【S3】!$M$7</f>
        <v>ス</v>
      </c>
      <c r="N267" s="240" t="str">
        <f>中3【S3】!$N$7</f>
        <v>算　数</v>
      </c>
      <c r="O267" s="241" t="str">
        <f>中3【S3】!$O$7</f>
        <v>変わり方を調べて（小6）</v>
      </c>
      <c r="P267" s="241" t="str">
        <f>中3【S3】!$P$7</f>
        <v>ス</v>
      </c>
      <c r="Q267" s="240" t="str">
        <f>中3【S3】!$B$12</f>
        <v>音　楽</v>
      </c>
      <c r="R267" s="241" t="str">
        <f>中3【S3】!$C$12</f>
        <v>学習用具・教科用語</v>
      </c>
      <c r="S267" s="241" t="str">
        <f>中3【S3】!$D$12</f>
        <v>ス</v>
      </c>
      <c r="T267" s="235"/>
    </row>
    <row r="268" spans="1:20" ht="24.95" customHeight="1" x14ac:dyDescent="0.15">
      <c r="A268" s="252"/>
      <c r="B268" s="253"/>
      <c r="C268" s="254"/>
      <c r="D268" s="254"/>
      <c r="E268" s="253"/>
      <c r="F268" s="254"/>
      <c r="G268" s="254"/>
      <c r="H268" s="253"/>
      <c r="I268" s="255"/>
      <c r="J268" s="255"/>
      <c r="K268" s="253"/>
      <c r="L268" s="254"/>
      <c r="M268" s="254"/>
      <c r="N268" s="253"/>
      <c r="O268" s="254"/>
      <c r="P268" s="254"/>
      <c r="Q268" s="253"/>
      <c r="R268" s="254"/>
      <c r="S268" s="254"/>
    </row>
    <row r="269" spans="1:20" ht="24.95" customHeight="1" x14ac:dyDescent="0.15">
      <c r="A269" s="228"/>
      <c r="B269" s="229"/>
      <c r="C269" s="270" t="str">
        <f>中3【S4】!$C$2</f>
        <v>中3　3月　【S4】　指導ユニット　モジュール（現学年・ステップ）配当計画</v>
      </c>
      <c r="D269" s="271"/>
      <c r="E269" s="271"/>
      <c r="F269" s="271"/>
      <c r="G269" s="272"/>
      <c r="H269" s="272"/>
      <c r="I269" s="272"/>
      <c r="J269" s="272"/>
      <c r="K269" s="272"/>
      <c r="L269" s="272"/>
      <c r="M269" s="273"/>
      <c r="N269" s="272"/>
      <c r="O269" s="208"/>
      <c r="P269" s="208"/>
      <c r="Q269" s="229"/>
      <c r="R269" s="208"/>
      <c r="S269" s="208"/>
    </row>
    <row r="270" spans="1:20" ht="24.95" customHeight="1" x14ac:dyDescent="0.15">
      <c r="A270" s="234" t="s">
        <v>191</v>
      </c>
      <c r="B270" s="274" t="s">
        <v>192</v>
      </c>
      <c r="C270" s="275"/>
      <c r="D270" s="276"/>
      <c r="E270" s="274" t="s">
        <v>193</v>
      </c>
      <c r="F270" s="275"/>
      <c r="G270" s="276"/>
      <c r="H270" s="274" t="s">
        <v>194</v>
      </c>
      <c r="I270" s="275"/>
      <c r="J270" s="276"/>
      <c r="K270" s="274" t="s">
        <v>195</v>
      </c>
      <c r="L270" s="275"/>
      <c r="M270" s="276"/>
      <c r="N270" s="245"/>
    </row>
    <row r="271" spans="1:20" ht="24.95" customHeight="1" x14ac:dyDescent="0.15">
      <c r="A271" s="236">
        <f>中3【S4】!$A$4</f>
        <v>1</v>
      </c>
      <c r="B271" s="237" t="str">
        <f>中3【S4】!$B$4</f>
        <v>国　語</v>
      </c>
      <c r="C271" s="238" t="str">
        <f>中3【S4】!$C$4</f>
        <v>学びについて語り合う</v>
      </c>
      <c r="D271" s="238" t="str">
        <f>中3【S4】!$D$4</f>
        <v>現</v>
      </c>
      <c r="E271" s="237" t="str">
        <f>中3【S4】!$E$4</f>
        <v>国　語</v>
      </c>
      <c r="F271" s="238" t="str">
        <f>中3【S4】!$F$4</f>
        <v>学びについて語り合う</v>
      </c>
      <c r="G271" s="238" t="str">
        <f>中3【S4】!$G$4</f>
        <v>現</v>
      </c>
      <c r="H271" s="237" t="str">
        <f>中3【S4】!$H$4</f>
        <v>国　語</v>
      </c>
      <c r="I271" s="238" t="str">
        <f>中3【S4】!$I$4</f>
        <v>学びについて語り合う</v>
      </c>
      <c r="J271" s="238" t="str">
        <f>中3【S4】!$J$4</f>
        <v>現</v>
      </c>
      <c r="K271" s="237" t="str">
        <f>中3【S4】!$K$4</f>
        <v>国　語</v>
      </c>
      <c r="L271" s="238" t="str">
        <f>中3【S4】!$L$4</f>
        <v>学びについて語り合う</v>
      </c>
      <c r="M271" s="238" t="str">
        <f>中3【S4】!$M$4</f>
        <v>現</v>
      </c>
      <c r="N271" s="245"/>
    </row>
    <row r="272" spans="1:20" ht="24.95" customHeight="1" x14ac:dyDescent="0.15">
      <c r="A272" s="239">
        <f>中3【S4】!$A$5</f>
        <v>2</v>
      </c>
      <c r="B272" s="240" t="str">
        <f>中3【S4】!$B$5</f>
        <v>社　会</v>
      </c>
      <c r="C272" s="241" t="str">
        <f>中3【S4】!$C$5</f>
        <v>より良い社会を目指して</v>
      </c>
      <c r="D272" s="241" t="str">
        <f>中3【S4】!$D$5</f>
        <v>現</v>
      </c>
      <c r="E272" s="240" t="str">
        <f>中3【S4】!$E$5</f>
        <v>数　学</v>
      </c>
      <c r="F272" s="241" t="str">
        <f>中3【S4】!$F$5</f>
        <v>標本調査</v>
      </c>
      <c r="G272" s="241" t="str">
        <f>中3【S4】!$G$5</f>
        <v>現</v>
      </c>
      <c r="H272" s="240" t="str">
        <f>中3【S4】!$H$5</f>
        <v>数　学</v>
      </c>
      <c r="I272" s="241" t="str">
        <f>中3【S4】!$I$5</f>
        <v>標本調査</v>
      </c>
      <c r="J272" s="241" t="str">
        <f>中3【S4】!$J$5</f>
        <v>現</v>
      </c>
      <c r="K272" s="240" t="str">
        <f>中3【S4】!$K$5</f>
        <v>国　語</v>
      </c>
      <c r="L272" s="241" t="str">
        <f>中3【S4】!$L$5</f>
        <v>学びについて語り合う</v>
      </c>
      <c r="M272" s="241" t="str">
        <f>中3【S4】!$M$5</f>
        <v>現</v>
      </c>
      <c r="N272" s="245"/>
    </row>
    <row r="273" spans="1:14" ht="24.95" customHeight="1" x14ac:dyDescent="0.15">
      <c r="A273" s="239">
        <f>中3【S4】!$A$6</f>
        <v>3</v>
      </c>
      <c r="B273" s="240" t="str">
        <f>中3【S4】!$B$6</f>
        <v>数　学</v>
      </c>
      <c r="C273" s="241" t="str">
        <f>中3【S4】!$C$6</f>
        <v>標本調査</v>
      </c>
      <c r="D273" s="241" t="str">
        <f>中3【S4】!$D$6</f>
        <v>現</v>
      </c>
      <c r="E273" s="240" t="str">
        <f>中3【S4】!$E$6</f>
        <v>音　楽</v>
      </c>
      <c r="F273" s="241" t="str">
        <f>中3【S4】!$F$6</f>
        <v>学習用具・教科用語</v>
      </c>
      <c r="G273" s="241" t="str">
        <f>中3【S4】!$G$6</f>
        <v>現</v>
      </c>
      <c r="H273" s="240" t="str">
        <f>中3【S4】!$H$6</f>
        <v>理　科</v>
      </c>
      <c r="I273" s="241" t="str">
        <f>中3【S4】!$I$6</f>
        <v>これからのくらしを考えよう</v>
      </c>
      <c r="J273" s="241" t="str">
        <f>中3【S4】!$J$6</f>
        <v>現</v>
      </c>
      <c r="K273" s="240" t="str">
        <f>中3【S4】!$K$6</f>
        <v>理　科</v>
      </c>
      <c r="L273" s="241" t="str">
        <f>中3【S4】!$L$6</f>
        <v>これからのくらしを考えよう</v>
      </c>
      <c r="M273" s="241" t="str">
        <f>中3【S4】!$M$6</f>
        <v>現</v>
      </c>
      <c r="N273" s="245"/>
    </row>
    <row r="274" spans="1:14" ht="24.95" customHeight="1" x14ac:dyDescent="0.15">
      <c r="A274" s="239">
        <f>中3【S4】!$A$7</f>
        <v>4</v>
      </c>
      <c r="B274" s="240" t="str">
        <f>中3【S4】!$B$7</f>
        <v>日本語</v>
      </c>
      <c r="C274" s="241" t="str">
        <f>中3【S4】!$C$7</f>
        <v>語彙</v>
      </c>
      <c r="D274" s="241" t="str">
        <f>中3【S4】!$D$7</f>
        <v>ス</v>
      </c>
      <c r="E274" s="240" t="str">
        <f>中3【S4】!$E$7</f>
        <v>社　会</v>
      </c>
      <c r="F274" s="241" t="str">
        <f>中3【S4】!$F$7</f>
        <v>学習用具・教科用語</v>
      </c>
      <c r="G274" s="241" t="str">
        <f>中3【S4】!$G$7</f>
        <v>ス</v>
      </c>
      <c r="H274" s="240" t="str">
        <f>中3【S4】!$H$7</f>
        <v>算　数</v>
      </c>
      <c r="I274" s="241" t="str">
        <f>中3【S4】!$I$7</f>
        <v>復習</v>
      </c>
      <c r="J274" s="241" t="str">
        <f>中3【S4】!$J$7</f>
        <v>ス</v>
      </c>
      <c r="K274" s="240" t="str">
        <f>中3【S4】!$K$7</f>
        <v>日本語</v>
      </c>
      <c r="L274" s="241" t="str">
        <f>中3【S4】!$L$7</f>
        <v>日本語能力試験</v>
      </c>
      <c r="M274" s="241" t="str">
        <f>中3【S4】!$M$7</f>
        <v>ス</v>
      </c>
      <c r="N274" s="245"/>
    </row>
    <row r="275" spans="1:14" ht="24.95" customHeight="1" x14ac:dyDescent="0.15">
      <c r="A275" s="244"/>
      <c r="B275" s="244"/>
      <c r="C275" s="244"/>
      <c r="D275" s="244"/>
      <c r="E275" s="244"/>
      <c r="F275" s="244"/>
      <c r="G275" s="244"/>
      <c r="H275" s="244"/>
      <c r="I275" s="244"/>
      <c r="J275" s="244"/>
      <c r="K275" s="244"/>
      <c r="L275" s="244"/>
      <c r="M275" s="244"/>
    </row>
  </sheetData>
  <mergeCells count="251">
    <mergeCell ref="C31:E31"/>
    <mergeCell ref="F31:H31"/>
    <mergeCell ref="I31:K31"/>
    <mergeCell ref="L31:N31"/>
    <mergeCell ref="O31:Q31"/>
    <mergeCell ref="C28:E28"/>
    <mergeCell ref="F28:H28"/>
    <mergeCell ref="I28:K28"/>
    <mergeCell ref="L28:N28"/>
    <mergeCell ref="O28:Q28"/>
    <mergeCell ref="C30:E30"/>
    <mergeCell ref="F30:H30"/>
    <mergeCell ref="I30:K30"/>
    <mergeCell ref="L30:N30"/>
    <mergeCell ref="O30:Q30"/>
    <mergeCell ref="C25:E25"/>
    <mergeCell ref="F25:H25"/>
    <mergeCell ref="I25:K25"/>
    <mergeCell ref="L25:N25"/>
    <mergeCell ref="O25:Q25"/>
    <mergeCell ref="C27:E27"/>
    <mergeCell ref="F27:H27"/>
    <mergeCell ref="I27:K27"/>
    <mergeCell ref="L27:N27"/>
    <mergeCell ref="O27:Q27"/>
    <mergeCell ref="C22:E22"/>
    <mergeCell ref="F22:H22"/>
    <mergeCell ref="I22:K22"/>
    <mergeCell ref="L22:N22"/>
    <mergeCell ref="C24:E24"/>
    <mergeCell ref="F24:H24"/>
    <mergeCell ref="I24:K24"/>
    <mergeCell ref="L24:N24"/>
    <mergeCell ref="O24:Q24"/>
    <mergeCell ref="C18:E18"/>
    <mergeCell ref="F18:H18"/>
    <mergeCell ref="I18:K18"/>
    <mergeCell ref="L18:N18"/>
    <mergeCell ref="C19:E19"/>
    <mergeCell ref="F19:H19"/>
    <mergeCell ref="I19:K19"/>
    <mergeCell ref="L19:N19"/>
    <mergeCell ref="C21:E21"/>
    <mergeCell ref="F21:H21"/>
    <mergeCell ref="I21:K21"/>
    <mergeCell ref="L21:N21"/>
    <mergeCell ref="C2:H2"/>
    <mergeCell ref="C4:Q4"/>
    <mergeCell ref="C6:P6"/>
    <mergeCell ref="C7:Q7"/>
    <mergeCell ref="C15:E15"/>
    <mergeCell ref="F15:H15"/>
    <mergeCell ref="I15:K15"/>
    <mergeCell ref="L15:N15"/>
    <mergeCell ref="C16:E16"/>
    <mergeCell ref="F16:H16"/>
    <mergeCell ref="I16:K16"/>
    <mergeCell ref="L16:N16"/>
    <mergeCell ref="C262:N262"/>
    <mergeCell ref="B263:D263"/>
    <mergeCell ref="E263:G263"/>
    <mergeCell ref="H263:J263"/>
    <mergeCell ref="K263:M263"/>
    <mergeCell ref="N263:P263"/>
    <mergeCell ref="Q263:S263"/>
    <mergeCell ref="C269:N269"/>
    <mergeCell ref="B270:D270"/>
    <mergeCell ref="E270:G270"/>
    <mergeCell ref="H270:J270"/>
    <mergeCell ref="K270:M270"/>
    <mergeCell ref="C250:N250"/>
    <mergeCell ref="B251:D251"/>
    <mergeCell ref="E251:G251"/>
    <mergeCell ref="H251:J251"/>
    <mergeCell ref="K251:M251"/>
    <mergeCell ref="N251:P251"/>
    <mergeCell ref="Q251:S251"/>
    <mergeCell ref="B256:D256"/>
    <mergeCell ref="E256:G256"/>
    <mergeCell ref="C235:N235"/>
    <mergeCell ref="B236:D236"/>
    <mergeCell ref="E236:G236"/>
    <mergeCell ref="H236:J236"/>
    <mergeCell ref="K236:M236"/>
    <mergeCell ref="N236:P236"/>
    <mergeCell ref="Q236:S236"/>
    <mergeCell ref="C242:N242"/>
    <mergeCell ref="B243:D243"/>
    <mergeCell ref="E243:G243"/>
    <mergeCell ref="H243:J243"/>
    <mergeCell ref="K243:M243"/>
    <mergeCell ref="C223:N223"/>
    <mergeCell ref="B224:D224"/>
    <mergeCell ref="E224:G224"/>
    <mergeCell ref="H224:J224"/>
    <mergeCell ref="K224:M224"/>
    <mergeCell ref="N224:P224"/>
    <mergeCell ref="Q224:S224"/>
    <mergeCell ref="B229:D229"/>
    <mergeCell ref="E229:G229"/>
    <mergeCell ref="C208:N208"/>
    <mergeCell ref="B209:D209"/>
    <mergeCell ref="E209:G209"/>
    <mergeCell ref="H209:J209"/>
    <mergeCell ref="K209:M209"/>
    <mergeCell ref="N209:P209"/>
    <mergeCell ref="Q209:S209"/>
    <mergeCell ref="C215:N215"/>
    <mergeCell ref="B216:D216"/>
    <mergeCell ref="E216:G216"/>
    <mergeCell ref="H216:J216"/>
    <mergeCell ref="K216:M216"/>
    <mergeCell ref="C196:N196"/>
    <mergeCell ref="B197:D197"/>
    <mergeCell ref="E197:G197"/>
    <mergeCell ref="H197:J197"/>
    <mergeCell ref="K197:M197"/>
    <mergeCell ref="N197:P197"/>
    <mergeCell ref="Q197:S197"/>
    <mergeCell ref="B202:D202"/>
    <mergeCell ref="E202:G202"/>
    <mergeCell ref="C181:N181"/>
    <mergeCell ref="B182:D182"/>
    <mergeCell ref="E182:G182"/>
    <mergeCell ref="H182:J182"/>
    <mergeCell ref="K182:M182"/>
    <mergeCell ref="N182:P182"/>
    <mergeCell ref="Q182:S182"/>
    <mergeCell ref="C188:N188"/>
    <mergeCell ref="B189:D189"/>
    <mergeCell ref="E189:G189"/>
    <mergeCell ref="H189:J189"/>
    <mergeCell ref="K189:M189"/>
    <mergeCell ref="C169:N169"/>
    <mergeCell ref="B170:D170"/>
    <mergeCell ref="E170:G170"/>
    <mergeCell ref="H170:J170"/>
    <mergeCell ref="K170:M170"/>
    <mergeCell ref="N170:P170"/>
    <mergeCell ref="Q170:S170"/>
    <mergeCell ref="B175:D175"/>
    <mergeCell ref="E175:G175"/>
    <mergeCell ref="C154:N154"/>
    <mergeCell ref="B155:D155"/>
    <mergeCell ref="E155:G155"/>
    <mergeCell ref="H155:J155"/>
    <mergeCell ref="K155:M155"/>
    <mergeCell ref="N155:P155"/>
    <mergeCell ref="Q155:S155"/>
    <mergeCell ref="C161:N161"/>
    <mergeCell ref="B162:D162"/>
    <mergeCell ref="E162:G162"/>
    <mergeCell ref="H162:J162"/>
    <mergeCell ref="K162:M162"/>
    <mergeCell ref="C142:N142"/>
    <mergeCell ref="B143:D143"/>
    <mergeCell ref="E143:G143"/>
    <mergeCell ref="H143:J143"/>
    <mergeCell ref="K143:M143"/>
    <mergeCell ref="N143:P143"/>
    <mergeCell ref="Q143:S143"/>
    <mergeCell ref="B148:D148"/>
    <mergeCell ref="E148:G148"/>
    <mergeCell ref="C127:N127"/>
    <mergeCell ref="B128:D128"/>
    <mergeCell ref="E128:G128"/>
    <mergeCell ref="H128:J128"/>
    <mergeCell ref="K128:M128"/>
    <mergeCell ref="N128:P128"/>
    <mergeCell ref="Q128:S128"/>
    <mergeCell ref="C134:N134"/>
    <mergeCell ref="B135:D135"/>
    <mergeCell ref="E135:G135"/>
    <mergeCell ref="H135:J135"/>
    <mergeCell ref="K135:M135"/>
    <mergeCell ref="C115:N115"/>
    <mergeCell ref="B116:D116"/>
    <mergeCell ref="E116:G116"/>
    <mergeCell ref="H116:J116"/>
    <mergeCell ref="K116:M116"/>
    <mergeCell ref="N116:P116"/>
    <mergeCell ref="Q116:S116"/>
    <mergeCell ref="B121:D121"/>
    <mergeCell ref="E121:G121"/>
    <mergeCell ref="C100:N100"/>
    <mergeCell ref="B101:D101"/>
    <mergeCell ref="E101:G101"/>
    <mergeCell ref="H101:J101"/>
    <mergeCell ref="K101:M101"/>
    <mergeCell ref="N101:P101"/>
    <mergeCell ref="Q101:S101"/>
    <mergeCell ref="C107:N107"/>
    <mergeCell ref="B108:D108"/>
    <mergeCell ref="E108:G108"/>
    <mergeCell ref="H108:J108"/>
    <mergeCell ref="K108:M108"/>
    <mergeCell ref="C88:N88"/>
    <mergeCell ref="B89:D89"/>
    <mergeCell ref="E89:G89"/>
    <mergeCell ref="H89:J89"/>
    <mergeCell ref="K89:M89"/>
    <mergeCell ref="N89:P89"/>
    <mergeCell ref="Q89:S89"/>
    <mergeCell ref="B94:D94"/>
    <mergeCell ref="E94:G94"/>
    <mergeCell ref="C73:N73"/>
    <mergeCell ref="B74:D74"/>
    <mergeCell ref="E74:G74"/>
    <mergeCell ref="H74:J74"/>
    <mergeCell ref="K74:M74"/>
    <mergeCell ref="N74:P74"/>
    <mergeCell ref="Q74:S74"/>
    <mergeCell ref="C80:N80"/>
    <mergeCell ref="B81:D81"/>
    <mergeCell ref="E81:G81"/>
    <mergeCell ref="H81:J81"/>
    <mergeCell ref="K81:M81"/>
    <mergeCell ref="C61:N61"/>
    <mergeCell ref="B62:D62"/>
    <mergeCell ref="E62:G62"/>
    <mergeCell ref="H62:J62"/>
    <mergeCell ref="K62:M62"/>
    <mergeCell ref="N62:P62"/>
    <mergeCell ref="Q62:S62"/>
    <mergeCell ref="B67:D67"/>
    <mergeCell ref="E67:G67"/>
    <mergeCell ref="H67:J67"/>
    <mergeCell ref="K67:M67"/>
    <mergeCell ref="N67:P67"/>
    <mergeCell ref="Q67:S67"/>
    <mergeCell ref="C46:N46"/>
    <mergeCell ref="B47:D47"/>
    <mergeCell ref="E47:G47"/>
    <mergeCell ref="H47:J47"/>
    <mergeCell ref="K47:M47"/>
    <mergeCell ref="N47:P47"/>
    <mergeCell ref="Q47:S47"/>
    <mergeCell ref="C53:N53"/>
    <mergeCell ref="B54:D54"/>
    <mergeCell ref="E54:G54"/>
    <mergeCell ref="H54:J54"/>
    <mergeCell ref="K54:M54"/>
    <mergeCell ref="C34:N34"/>
    <mergeCell ref="B35:D35"/>
    <mergeCell ref="E35:G35"/>
    <mergeCell ref="H35:J35"/>
    <mergeCell ref="K35:M35"/>
    <mergeCell ref="N35:P35"/>
    <mergeCell ref="Q35:S35"/>
    <mergeCell ref="B40:D40"/>
    <mergeCell ref="E40:G40"/>
  </mergeCells>
  <phoneticPr fontId="51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" sqref="O3"/>
    </sheetView>
  </sheetViews>
  <sheetFormatPr defaultColWidth="10.85546875" defaultRowHeight="13.7" customHeight="1" x14ac:dyDescent="0.15"/>
  <cols>
    <col min="1" max="1" width="5.42578125" style="140" customWidth="1"/>
    <col min="2" max="2" width="7.5703125" style="140" customWidth="1"/>
    <col min="3" max="3" width="18.5703125" style="140" customWidth="1"/>
    <col min="4" max="4" width="3.5703125" style="140" customWidth="1"/>
    <col min="5" max="5" width="7.5703125" style="140" customWidth="1"/>
    <col min="6" max="6" width="18.5703125" style="140" customWidth="1"/>
    <col min="7" max="7" width="3.5703125" style="140" customWidth="1"/>
    <col min="8" max="8" width="7.5703125" style="140" customWidth="1"/>
    <col min="9" max="9" width="18.5703125" style="143" customWidth="1"/>
    <col min="10" max="10" width="3.5703125" style="143" customWidth="1"/>
    <col min="11" max="11" width="7.5703125" style="143" customWidth="1"/>
    <col min="12" max="12" width="18.5703125" style="140" customWidth="1"/>
    <col min="13" max="13" width="3.5703125" style="140" customWidth="1"/>
    <col min="14" max="14" width="7.5703125" style="140" customWidth="1"/>
    <col min="15" max="15" width="18.5703125" style="140" customWidth="1"/>
    <col min="16" max="16" width="3.5703125" style="140" customWidth="1"/>
    <col min="17" max="17" width="4.5703125" style="140" customWidth="1"/>
    <col min="18" max="18" width="6.85546875" style="140" customWidth="1"/>
    <col min="19" max="19" width="4.85546875" style="140" customWidth="1"/>
    <col min="20" max="20" width="30.28515625" style="140" customWidth="1"/>
    <col min="21" max="21" width="5.140625" style="140" customWidth="1"/>
    <col min="22" max="22" width="4.5703125" style="140" customWidth="1"/>
    <col min="23" max="23" width="3.28515625" style="140" customWidth="1"/>
    <col min="24" max="24" width="5" style="144" customWidth="1"/>
    <col min="25" max="25" width="8.85546875" style="140" customWidth="1"/>
    <col min="26" max="30" width="3.5703125" style="140" customWidth="1"/>
    <col min="31" max="16384" width="10.85546875" style="140"/>
  </cols>
  <sheetData>
    <row r="1" spans="1:27" ht="13.5" customHeight="1" x14ac:dyDescent="0.15">
      <c r="B1" s="141"/>
      <c r="C1" s="142"/>
      <c r="T1" s="140" t="s">
        <v>204</v>
      </c>
    </row>
    <row r="2" spans="1:27" ht="16.5" customHeight="1" x14ac:dyDescent="0.2">
      <c r="B2" s="145"/>
      <c r="C2" s="318" t="s">
        <v>412</v>
      </c>
      <c r="D2" s="318"/>
      <c r="E2" s="318"/>
      <c r="F2" s="318"/>
      <c r="G2" s="319"/>
      <c r="H2" s="319"/>
      <c r="I2" s="319"/>
      <c r="J2" s="319"/>
      <c r="K2" s="319"/>
      <c r="L2" s="319"/>
      <c r="M2" s="320"/>
      <c r="N2" s="320"/>
      <c r="P2" s="146"/>
      <c r="R2" s="321" t="s">
        <v>206</v>
      </c>
      <c r="S2" s="147">
        <v>1</v>
      </c>
      <c r="T2" s="148" t="s">
        <v>403</v>
      </c>
      <c r="U2" s="149">
        <f>COUNTIF(C21:O34,"=1")</f>
        <v>5</v>
      </c>
      <c r="V2" s="323" t="s">
        <v>208</v>
      </c>
      <c r="W2" s="150"/>
      <c r="X2" s="151" t="s">
        <v>209</v>
      </c>
      <c r="Y2" s="152" t="s">
        <v>69</v>
      </c>
      <c r="Z2" s="149">
        <f>COUNTIF(B21:P34,"=a")</f>
        <v>2</v>
      </c>
      <c r="AA2" s="150"/>
    </row>
    <row r="3" spans="1:27" ht="14.25" x14ac:dyDescent="0.15">
      <c r="A3" s="153"/>
      <c r="P3" s="153"/>
      <c r="R3" s="322"/>
      <c r="S3" s="154">
        <v>2</v>
      </c>
      <c r="T3" s="155"/>
      <c r="U3" s="156">
        <f>COUNTIF(C21:O34,"=2")</f>
        <v>0</v>
      </c>
      <c r="V3" s="322"/>
      <c r="W3" s="150"/>
      <c r="X3" s="157" t="s">
        <v>211</v>
      </c>
      <c r="Y3" s="155" t="s">
        <v>212</v>
      </c>
      <c r="Z3" s="156">
        <f>COUNTIF(B21:P34,"=b")</f>
        <v>5</v>
      </c>
      <c r="AA3" s="150"/>
    </row>
    <row r="4" spans="1:27" ht="14.1" customHeight="1" x14ac:dyDescent="0.15">
      <c r="A4" s="158">
        <v>1</v>
      </c>
      <c r="B4" s="159" t="str">
        <f>LOOKUP(B21,$X$2:$Y$43,$Y$2:$Y$43)</f>
        <v>国　語</v>
      </c>
      <c r="C4" s="148" t="str">
        <f>LOOKUP(C21,$S$2:$T$69,$T$2:$T$69)</f>
        <v>学びについて語り合う</v>
      </c>
      <c r="D4" s="148" t="str">
        <f t="shared" ref="D4:E7" si="0">LOOKUP(D21,$X$2:$Y$43,$Y$2:$Y$43)</f>
        <v>現</v>
      </c>
      <c r="E4" s="159" t="str">
        <f t="shared" si="0"/>
        <v>国　語</v>
      </c>
      <c r="F4" s="148" t="str">
        <f>LOOKUP(F21,$S$2:$T$69,$T$2:$T$69)</f>
        <v>学びについて語り合う</v>
      </c>
      <c r="G4" s="148" t="str">
        <f t="shared" ref="G4:H7" si="1">LOOKUP(G21,$X$2:$Y$43,$Y$2:$Y$43)</f>
        <v>現</v>
      </c>
      <c r="H4" s="159" t="str">
        <f t="shared" si="1"/>
        <v>国　語</v>
      </c>
      <c r="I4" s="148" t="str">
        <f>LOOKUP(I21,$S$2:$T$69,$T$2:$T$69)</f>
        <v>学びについて語り合う</v>
      </c>
      <c r="J4" s="148" t="str">
        <f t="shared" ref="J4:K7" si="2">LOOKUP(J21,$X$2:$Y$43,$Y$2:$Y$43)</f>
        <v>現</v>
      </c>
      <c r="K4" s="159" t="str">
        <f t="shared" si="2"/>
        <v>国　語</v>
      </c>
      <c r="L4" s="148" t="str">
        <f>LOOKUP(L21,$S$2:$T$69,$T$2:$T$69)</f>
        <v>学びについて語り合う</v>
      </c>
      <c r="M4" s="148" t="str">
        <f t="shared" ref="M4:N7" si="3">LOOKUP(M21,$X$2:$Y$43,$Y$2:$Y$43)</f>
        <v>現</v>
      </c>
      <c r="N4" s="159" t="str">
        <f t="shared" si="3"/>
        <v>ス</v>
      </c>
      <c r="O4" s="148">
        <f>LOOKUP(O21,$S$2:$T$69,$T$2:$T$69)</f>
        <v>0</v>
      </c>
      <c r="P4" s="148" t="str">
        <f>LOOKUP(P21,$X$2:$Y$43,$Y$2:$Y$43)</f>
        <v>ス</v>
      </c>
      <c r="Q4" s="150"/>
      <c r="R4" s="322"/>
      <c r="S4" s="154">
        <v>3</v>
      </c>
      <c r="T4" s="155"/>
      <c r="U4" s="156">
        <f>COUNTIF(C21:O34,"=3")</f>
        <v>0</v>
      </c>
      <c r="V4" s="322"/>
      <c r="W4" s="150"/>
      <c r="X4" s="157" t="s">
        <v>214</v>
      </c>
      <c r="Y4" s="155" t="s">
        <v>215</v>
      </c>
      <c r="Z4" s="156">
        <f>COUNTIF(B21:P34,"=c")</f>
        <v>1</v>
      </c>
      <c r="AA4" s="150"/>
    </row>
    <row r="5" spans="1:27" ht="14.1" customHeight="1" x14ac:dyDescent="0.15">
      <c r="A5" s="160">
        <v>2</v>
      </c>
      <c r="B5" s="161" t="str">
        <f>LOOKUP(B22,$X$2:$Y$43,$Y$2:$Y$43)</f>
        <v>社　会</v>
      </c>
      <c r="C5" s="162" t="str">
        <f>LOOKUP(C22,$S$2:$T$69,$T$2:$T$69)</f>
        <v>より良い社会を目指して</v>
      </c>
      <c r="D5" s="162" t="str">
        <f t="shared" si="0"/>
        <v>現</v>
      </c>
      <c r="E5" s="161" t="str">
        <f t="shared" si="0"/>
        <v>数　学</v>
      </c>
      <c r="F5" s="162" t="str">
        <f>LOOKUP(F22,$S$2:$T$69,$T$2:$T$69)</f>
        <v>標本調査</v>
      </c>
      <c r="G5" s="162" t="str">
        <f t="shared" si="1"/>
        <v>現</v>
      </c>
      <c r="H5" s="161" t="str">
        <f t="shared" si="1"/>
        <v>数　学</v>
      </c>
      <c r="I5" s="162" t="str">
        <f>LOOKUP(I22,$S$2:$T$69,$T$2:$T$69)</f>
        <v>標本調査</v>
      </c>
      <c r="J5" s="162" t="str">
        <f t="shared" si="2"/>
        <v>現</v>
      </c>
      <c r="K5" s="161" t="str">
        <f t="shared" si="2"/>
        <v>国　語</v>
      </c>
      <c r="L5" s="162" t="str">
        <f>LOOKUP(L22,$S$2:$T$69,$T$2:$T$69)</f>
        <v>学びについて語り合う</v>
      </c>
      <c r="M5" s="162" t="str">
        <f t="shared" si="3"/>
        <v>現</v>
      </c>
      <c r="N5" s="161" t="str">
        <f t="shared" si="3"/>
        <v>ス</v>
      </c>
      <c r="O5" s="162">
        <f>LOOKUP(O22,$S$2:$T$69,$T$2:$T$69)</f>
        <v>0</v>
      </c>
      <c r="P5" s="162" t="str">
        <f>LOOKUP(P22,$X$2:$Y$43,$Y$2:$Y$43)</f>
        <v>ス</v>
      </c>
      <c r="Q5" s="150"/>
      <c r="R5" s="322"/>
      <c r="S5" s="154">
        <v>4</v>
      </c>
      <c r="T5" s="155"/>
      <c r="U5" s="156">
        <f>COUNTIF(C21:O34,"=4")</f>
        <v>0</v>
      </c>
      <c r="V5" s="322"/>
      <c r="W5" s="150"/>
      <c r="X5" s="157" t="s">
        <v>216</v>
      </c>
      <c r="Y5" s="155" t="s">
        <v>217</v>
      </c>
      <c r="Z5" s="156">
        <f>COUNTIF(B21:P34,"=d")</f>
        <v>3</v>
      </c>
      <c r="AA5" s="150"/>
    </row>
    <row r="6" spans="1:27" ht="14.1" customHeight="1" x14ac:dyDescent="0.15">
      <c r="A6" s="160">
        <v>3</v>
      </c>
      <c r="B6" s="161" t="str">
        <f>LOOKUP(B23,$X$2:$Y$43,$Y$2:$Y$43)</f>
        <v>数　学</v>
      </c>
      <c r="C6" s="162" t="str">
        <f>LOOKUP(C23,$S$2:$T$69,$T$2:$T$69)</f>
        <v>標本調査</v>
      </c>
      <c r="D6" s="162" t="str">
        <f t="shared" si="0"/>
        <v>現</v>
      </c>
      <c r="E6" s="161" t="str">
        <f t="shared" si="0"/>
        <v>音　楽</v>
      </c>
      <c r="F6" s="162" t="str">
        <f>LOOKUP(F23,$S$2:$T$69,$T$2:$T$69)</f>
        <v>学習用具・教科用語</v>
      </c>
      <c r="G6" s="162" t="str">
        <f t="shared" si="1"/>
        <v>現</v>
      </c>
      <c r="H6" s="161" t="str">
        <f t="shared" si="1"/>
        <v>理　科</v>
      </c>
      <c r="I6" s="162" t="str">
        <f>LOOKUP(I23,$S$2:$T$69,$T$2:$T$69)</f>
        <v>これからのくらしを考えよう</v>
      </c>
      <c r="J6" s="162" t="str">
        <f t="shared" si="2"/>
        <v>現</v>
      </c>
      <c r="K6" s="161" t="str">
        <f t="shared" si="2"/>
        <v>理　科</v>
      </c>
      <c r="L6" s="162" t="str">
        <f>LOOKUP(L23,$S$2:$T$69,$T$2:$T$69)</f>
        <v>これからのくらしを考えよう</v>
      </c>
      <c r="M6" s="162" t="str">
        <f t="shared" si="3"/>
        <v>現</v>
      </c>
      <c r="N6" s="161" t="str">
        <f t="shared" si="3"/>
        <v>ス</v>
      </c>
      <c r="O6" s="162">
        <f>LOOKUP(O23,$S$2:$T$69,$T$2:$T$69)</f>
        <v>0</v>
      </c>
      <c r="P6" s="162" t="str">
        <f>LOOKUP(P23,$X$2:$Y$43,$Y$2:$Y$43)</f>
        <v>ス</v>
      </c>
      <c r="Q6" s="150"/>
      <c r="R6" s="322"/>
      <c r="S6" s="154">
        <v>5</v>
      </c>
      <c r="T6" s="155"/>
      <c r="U6" s="156">
        <f>COUNTIF(C21:O34,"=5")</f>
        <v>0</v>
      </c>
      <c r="V6" s="322"/>
      <c r="W6" s="150"/>
      <c r="X6" s="157" t="s">
        <v>218</v>
      </c>
      <c r="Y6" s="155" t="s">
        <v>219</v>
      </c>
      <c r="Z6" s="156">
        <f>COUNTIF(B21:P34,"=e")</f>
        <v>2</v>
      </c>
      <c r="AA6" s="150"/>
    </row>
    <row r="7" spans="1:27" ht="14.1" customHeight="1" x14ac:dyDescent="0.15">
      <c r="A7" s="160">
        <v>4</v>
      </c>
      <c r="B7" s="161" t="str">
        <f>LOOKUP(B24,$X$2:$Y$43,$Y$2:$Y$43)</f>
        <v>日本語</v>
      </c>
      <c r="C7" s="162" t="str">
        <f>LOOKUP(C24,$S$2:$T$69,$T$2:$T$69)</f>
        <v>語彙</v>
      </c>
      <c r="D7" s="162" t="str">
        <f t="shared" si="0"/>
        <v>ス</v>
      </c>
      <c r="E7" s="161" t="str">
        <f t="shared" si="0"/>
        <v>社　会</v>
      </c>
      <c r="F7" s="162" t="str">
        <f>LOOKUP(F24,$S$2:$T$69,$T$2:$T$69)</f>
        <v>学習用具・教科用語</v>
      </c>
      <c r="G7" s="162" t="str">
        <f t="shared" si="1"/>
        <v>ス</v>
      </c>
      <c r="H7" s="161" t="str">
        <f t="shared" si="1"/>
        <v>算　数</v>
      </c>
      <c r="I7" s="162" t="str">
        <f>LOOKUP(I24,$S$2:$T$69,$T$2:$T$69)</f>
        <v>復習</v>
      </c>
      <c r="J7" s="162" t="str">
        <f t="shared" si="2"/>
        <v>ス</v>
      </c>
      <c r="K7" s="161" t="str">
        <f t="shared" si="2"/>
        <v>日本語</v>
      </c>
      <c r="L7" s="162" t="str">
        <f>LOOKUP(L24,$S$2:$T$69,$T$2:$T$69)</f>
        <v>日本語能力試験</v>
      </c>
      <c r="M7" s="162" t="str">
        <f t="shared" si="3"/>
        <v>ス</v>
      </c>
      <c r="N7" s="161" t="str">
        <f t="shared" si="3"/>
        <v>ス</v>
      </c>
      <c r="O7" s="162">
        <f>LOOKUP(O24,$S$2:$T$69,$T$2:$T$69)</f>
        <v>0</v>
      </c>
      <c r="P7" s="162" t="str">
        <f>LOOKUP(P24,$X$2:$Y$43,$Y$2:$Y$43)</f>
        <v>ス</v>
      </c>
      <c r="Q7" s="150"/>
      <c r="R7" s="322"/>
      <c r="S7" s="154">
        <v>6</v>
      </c>
      <c r="T7" s="155"/>
      <c r="U7" s="156">
        <f>COUNTIF(C21:O34,"=6")</f>
        <v>0</v>
      </c>
      <c r="V7" s="322"/>
      <c r="W7" s="150"/>
      <c r="X7" s="157" t="s">
        <v>220</v>
      </c>
      <c r="Y7" s="155" t="s">
        <v>221</v>
      </c>
      <c r="Z7" s="156">
        <f>COUNTIF(B21:P34,"=f")</f>
        <v>2</v>
      </c>
      <c r="AA7" s="150"/>
    </row>
    <row r="8" spans="1:27" ht="14.25" x14ac:dyDescent="0.15">
      <c r="A8" s="163"/>
      <c r="B8" s="164"/>
      <c r="C8" s="164"/>
      <c r="D8" s="164"/>
      <c r="E8" s="164"/>
      <c r="F8" s="164"/>
      <c r="G8" s="164"/>
      <c r="H8" s="164"/>
      <c r="I8" s="164"/>
      <c r="J8" s="165"/>
      <c r="K8" s="164"/>
      <c r="L8" s="164"/>
      <c r="M8" s="164"/>
      <c r="N8" s="164"/>
      <c r="O8" s="164"/>
      <c r="P8" s="164"/>
      <c r="R8" s="322"/>
      <c r="S8" s="154">
        <v>7</v>
      </c>
      <c r="T8" s="155"/>
      <c r="U8" s="156">
        <f>COUNTIF(C21:O34,"=7")</f>
        <v>0</v>
      </c>
      <c r="V8" s="322"/>
      <c r="W8" s="150"/>
      <c r="X8" s="157" t="s">
        <v>222</v>
      </c>
      <c r="Y8" s="155" t="s">
        <v>223</v>
      </c>
      <c r="Z8" s="156">
        <f>COUNTIF(B21:P34,"=g")</f>
        <v>0</v>
      </c>
      <c r="AA8" s="150"/>
    </row>
    <row r="9" spans="1:27" ht="14.1" customHeight="1" x14ac:dyDescent="0.15">
      <c r="A9" s="158">
        <v>5</v>
      </c>
      <c r="B9" s="159" t="str">
        <f>LOOKUP(B26,$X$2:$Y$43,$Y$2:$Y$43)</f>
        <v>ス</v>
      </c>
      <c r="C9" s="148">
        <f>LOOKUP(C26,$S$2:$T$69,$T$2:$T$69)</f>
        <v>0</v>
      </c>
      <c r="D9" s="148" t="str">
        <f t="shared" ref="D9:E12" si="4">LOOKUP(D26,$X$2:$Y$43,$Y$2:$Y$43)</f>
        <v>ス</v>
      </c>
      <c r="E9" s="159" t="str">
        <f t="shared" si="4"/>
        <v>ス</v>
      </c>
      <c r="F9" s="148">
        <f>LOOKUP(F26,$S$2:$T$69,$T$2:$T$69)</f>
        <v>0</v>
      </c>
      <c r="G9" s="148" t="str">
        <f t="shared" ref="G9:H12" si="5">LOOKUP(G26,$X$2:$Y$43,$Y$2:$Y$43)</f>
        <v>ス</v>
      </c>
      <c r="H9" s="159" t="str">
        <f t="shared" si="5"/>
        <v>ス</v>
      </c>
      <c r="I9" s="148">
        <f>LOOKUP(I26,$S$2:$T$69,$T$2:$T$69)</f>
        <v>0</v>
      </c>
      <c r="J9" s="148" t="str">
        <f t="shared" ref="J9:K12" si="6">LOOKUP(J26,$X$2:$Y$43,$Y$2:$Y$43)</f>
        <v>ス</v>
      </c>
      <c r="K9" s="159" t="str">
        <f t="shared" si="6"/>
        <v>ス</v>
      </c>
      <c r="L9" s="148">
        <f>LOOKUP(L26,$S$2:$T$69,$T$2:$T$69)</f>
        <v>0</v>
      </c>
      <c r="M9" s="148" t="str">
        <f t="shared" ref="M9:N12" si="7">LOOKUP(M26,$X$2:$Y$43,$Y$2:$Y$43)</f>
        <v>ス</v>
      </c>
      <c r="N9" s="159" t="str">
        <f t="shared" si="7"/>
        <v>ス</v>
      </c>
      <c r="O9" s="148">
        <f>LOOKUP(O26,$S$2:$T$69,$T$2:$T$69)</f>
        <v>0</v>
      </c>
      <c r="P9" s="148" t="str">
        <f>LOOKUP(P26,$X$2:$Y$43,$Y$2:$Y$43)</f>
        <v>ス</v>
      </c>
      <c r="Q9" s="150"/>
      <c r="R9" s="322"/>
      <c r="S9" s="154">
        <v>8</v>
      </c>
      <c r="T9" s="155"/>
      <c r="U9" s="156">
        <f>COUNTIF(C21:O34,"=8")</f>
        <v>0</v>
      </c>
      <c r="V9" s="322"/>
      <c r="W9" s="150"/>
      <c r="X9" s="157" t="s">
        <v>224</v>
      </c>
      <c r="Y9" s="155" t="s">
        <v>225</v>
      </c>
      <c r="Z9" s="156">
        <f>COUNTIF(B21:P34,"=h")</f>
        <v>1</v>
      </c>
      <c r="AA9" s="150"/>
    </row>
    <row r="10" spans="1:27" ht="14.1" customHeight="1" x14ac:dyDescent="0.15">
      <c r="A10" s="160">
        <v>6</v>
      </c>
      <c r="B10" s="161" t="str">
        <f>LOOKUP(B27,$X$2:$Y$43,$Y$2:$Y$43)</f>
        <v>ス</v>
      </c>
      <c r="C10" s="162">
        <f>LOOKUP(C27,$S$2:$T$69,$T$2:$T$69)</f>
        <v>0</v>
      </c>
      <c r="D10" s="162" t="str">
        <f t="shared" si="4"/>
        <v>ス</v>
      </c>
      <c r="E10" s="161" t="str">
        <f t="shared" si="4"/>
        <v>ス</v>
      </c>
      <c r="F10" s="162">
        <f>LOOKUP(F27,$S$2:$T$69,$T$2:$T$69)</f>
        <v>0</v>
      </c>
      <c r="G10" s="162" t="str">
        <f t="shared" si="5"/>
        <v>ス</v>
      </c>
      <c r="H10" s="161" t="str">
        <f t="shared" si="5"/>
        <v>ス</v>
      </c>
      <c r="I10" s="162">
        <f>LOOKUP(I27,$S$2:$T$69,$T$2:$T$69)</f>
        <v>0</v>
      </c>
      <c r="J10" s="162" t="str">
        <f t="shared" si="6"/>
        <v>ス</v>
      </c>
      <c r="K10" s="161" t="str">
        <f t="shared" si="6"/>
        <v>ス</v>
      </c>
      <c r="L10" s="162">
        <f>LOOKUP(L27,$S$2:$T$69,$T$2:$T$69)</f>
        <v>0</v>
      </c>
      <c r="M10" s="162" t="str">
        <f t="shared" si="7"/>
        <v>ス</v>
      </c>
      <c r="N10" s="161" t="str">
        <f t="shared" si="7"/>
        <v>ス</v>
      </c>
      <c r="O10" s="162">
        <f>LOOKUP(O27,$S$2:$T$69,$T$2:$T$69)</f>
        <v>0</v>
      </c>
      <c r="P10" s="162" t="str">
        <f>LOOKUP(P27,$X$2:$Y$43,$Y$2:$Y$43)</f>
        <v>ス</v>
      </c>
      <c r="Q10" s="150"/>
      <c r="R10" s="322"/>
      <c r="S10" s="149"/>
      <c r="T10" s="166" t="s">
        <v>226</v>
      </c>
      <c r="U10" s="167">
        <f>SUM(U2:U9)</f>
        <v>5</v>
      </c>
      <c r="V10" s="322"/>
      <c r="W10" s="150"/>
      <c r="X10" s="157" t="s">
        <v>227</v>
      </c>
      <c r="Y10" s="155" t="s">
        <v>228</v>
      </c>
      <c r="Z10" s="156">
        <f>COUNTIF(B21:P34,"=i")</f>
        <v>0</v>
      </c>
      <c r="AA10" s="150"/>
    </row>
    <row r="11" spans="1:27" ht="14.1" customHeight="1" x14ac:dyDescent="0.15">
      <c r="A11" s="160">
        <v>7</v>
      </c>
      <c r="B11" s="161" t="str">
        <f>LOOKUP(B28,$X$2:$Y$43,$Y$2:$Y$43)</f>
        <v>ス</v>
      </c>
      <c r="C11" s="162">
        <f>LOOKUP(C28,$S$2:$T$69,$T$2:$T$69)</f>
        <v>0</v>
      </c>
      <c r="D11" s="162" t="str">
        <f t="shared" si="4"/>
        <v>ス</v>
      </c>
      <c r="E11" s="161" t="str">
        <f t="shared" si="4"/>
        <v>ス</v>
      </c>
      <c r="F11" s="162">
        <f>LOOKUP(F28,$S$2:$T$69,$T$2:$T$69)</f>
        <v>0</v>
      </c>
      <c r="G11" s="162" t="str">
        <f t="shared" si="5"/>
        <v>ス</v>
      </c>
      <c r="H11" s="161" t="str">
        <f t="shared" si="5"/>
        <v>ス</v>
      </c>
      <c r="I11" s="162">
        <f>LOOKUP(I28,$S$2:$T$69,$T$2:$T$69)</f>
        <v>0</v>
      </c>
      <c r="J11" s="162" t="str">
        <f t="shared" si="6"/>
        <v>ス</v>
      </c>
      <c r="K11" s="161" t="str">
        <f t="shared" si="6"/>
        <v>ス</v>
      </c>
      <c r="L11" s="162">
        <f>LOOKUP(L28,$S$2:$T$69,$T$2:$T$69)</f>
        <v>0</v>
      </c>
      <c r="M11" s="162" t="str">
        <f t="shared" si="7"/>
        <v>ス</v>
      </c>
      <c r="N11" s="161" t="str">
        <f t="shared" si="7"/>
        <v>ス</v>
      </c>
      <c r="O11" s="162">
        <f>LOOKUP(O28,$S$2:$T$69,$T$2:$T$69)</f>
        <v>0</v>
      </c>
      <c r="P11" s="162" t="str">
        <f>LOOKUP(P28,$X$2:$Y$43,$Y$2:$Y$43)</f>
        <v>ス</v>
      </c>
      <c r="Q11" s="150"/>
      <c r="R11" s="322"/>
      <c r="S11" s="147">
        <v>10</v>
      </c>
      <c r="T11" s="152"/>
      <c r="U11" s="149">
        <f>COUNTIF(C21:O34,"=10")</f>
        <v>0</v>
      </c>
      <c r="V11" s="323" t="s">
        <v>229</v>
      </c>
      <c r="W11" s="150"/>
      <c r="X11" s="157" t="s">
        <v>230</v>
      </c>
      <c r="Y11" s="155" t="s">
        <v>231</v>
      </c>
      <c r="Z11" s="156">
        <f>COUNTIF(B21:P34,"=j")</f>
        <v>0</v>
      </c>
      <c r="AA11" s="150"/>
    </row>
    <row r="12" spans="1:27" ht="14.1" customHeight="1" x14ac:dyDescent="0.15">
      <c r="A12" s="160">
        <v>8</v>
      </c>
      <c r="B12" s="161" t="str">
        <f>LOOKUP(B29,$X$2:$Y$43,$Y$2:$Y$43)</f>
        <v>ス</v>
      </c>
      <c r="C12" s="162">
        <f>LOOKUP(C29,$S$2:$T$69,$T$2:$T$69)</f>
        <v>0</v>
      </c>
      <c r="D12" s="162" t="str">
        <f t="shared" si="4"/>
        <v>ス</v>
      </c>
      <c r="E12" s="161" t="str">
        <f t="shared" si="4"/>
        <v>ス</v>
      </c>
      <c r="F12" s="162">
        <f>LOOKUP(F29,$S$2:$T$69,$T$2:$T$69)</f>
        <v>0</v>
      </c>
      <c r="G12" s="162" t="str">
        <f t="shared" si="5"/>
        <v>ス</v>
      </c>
      <c r="H12" s="161" t="str">
        <f t="shared" si="5"/>
        <v>ス</v>
      </c>
      <c r="I12" s="162">
        <f>LOOKUP(I29,$S$2:$T$69,$T$2:$T$69)</f>
        <v>0</v>
      </c>
      <c r="J12" s="162" t="str">
        <f t="shared" si="6"/>
        <v>ス</v>
      </c>
      <c r="K12" s="161" t="str">
        <f t="shared" si="6"/>
        <v>ス</v>
      </c>
      <c r="L12" s="162">
        <f>LOOKUP(L29,$S$2:$T$69,$T$2:$T$69)</f>
        <v>0</v>
      </c>
      <c r="M12" s="162" t="str">
        <f t="shared" si="7"/>
        <v>ス</v>
      </c>
      <c r="N12" s="161" t="str">
        <f t="shared" si="7"/>
        <v>ス</v>
      </c>
      <c r="O12" s="162">
        <f>LOOKUP(O29,$S$2:$T$69,$T$2:$T$69)</f>
        <v>0</v>
      </c>
      <c r="P12" s="162" t="str">
        <f>LOOKUP(P29,$X$2:$Y$43,$Y$2:$Y$43)</f>
        <v>ス</v>
      </c>
      <c r="Q12" s="150"/>
      <c r="R12" s="322"/>
      <c r="S12" s="154">
        <v>11</v>
      </c>
      <c r="T12" s="155"/>
      <c r="U12" s="156">
        <f>COUNTIF(C21:O34,"=11")</f>
        <v>0</v>
      </c>
      <c r="V12" s="322"/>
      <c r="W12" s="150"/>
      <c r="X12" s="157" t="s">
        <v>232</v>
      </c>
      <c r="Y12" s="155" t="s">
        <v>233</v>
      </c>
      <c r="Z12" s="156">
        <f>COUNTIF(B21:P34,"=k")</f>
        <v>0</v>
      </c>
      <c r="AA12" s="150"/>
    </row>
    <row r="13" spans="1:27" ht="14.25" x14ac:dyDescent="0.15">
      <c r="A13" s="163"/>
      <c r="B13" s="164"/>
      <c r="C13" s="164"/>
      <c r="D13" s="164"/>
      <c r="E13" s="164"/>
      <c r="F13" s="164"/>
      <c r="G13" s="164"/>
      <c r="H13" s="164"/>
      <c r="I13" s="164"/>
      <c r="J13" s="165"/>
      <c r="K13" s="164"/>
      <c r="L13" s="164"/>
      <c r="M13" s="164"/>
      <c r="N13" s="164"/>
      <c r="O13" s="164"/>
      <c r="P13" s="164"/>
      <c r="R13" s="322"/>
      <c r="S13" s="154">
        <v>12</v>
      </c>
      <c r="T13" s="155"/>
      <c r="U13" s="156">
        <f>COUNTIF(C21:O34,"=12")</f>
        <v>0</v>
      </c>
      <c r="V13" s="322"/>
      <c r="W13" s="150"/>
      <c r="X13" s="157" t="s">
        <v>234</v>
      </c>
      <c r="Y13" s="155"/>
      <c r="Z13" s="156">
        <f>COUNTIF(B21:P34,"=l")</f>
        <v>0</v>
      </c>
      <c r="AA13" s="150"/>
    </row>
    <row r="14" spans="1:27" ht="14.1" customHeight="1" x14ac:dyDescent="0.15">
      <c r="A14" s="158">
        <v>9</v>
      </c>
      <c r="B14" s="159" t="str">
        <f>LOOKUP(B31,$X$2:$Y$43,$Y$2:$Y$43)</f>
        <v>ス</v>
      </c>
      <c r="C14" s="148">
        <f>LOOKUP(C31,$S$2:$T$69,$T$2:$T$69)</f>
        <v>0</v>
      </c>
      <c r="D14" s="148" t="str">
        <f t="shared" ref="D14:E17" si="8">LOOKUP(D31,$X$2:$Y$43,$Y$2:$Y$43)</f>
        <v>ス</v>
      </c>
      <c r="E14" s="159" t="str">
        <f t="shared" si="8"/>
        <v>ス</v>
      </c>
      <c r="F14" s="148">
        <f>LOOKUP(F31,$S$2:$T$69,$T$2:$T$69)</f>
        <v>0</v>
      </c>
      <c r="G14" s="148" t="str">
        <f t="shared" ref="G14:H17" si="9">LOOKUP(G31,$X$2:$Y$43,$Y$2:$Y$43)</f>
        <v>ス</v>
      </c>
      <c r="H14" s="159" t="str">
        <f t="shared" si="9"/>
        <v>ス</v>
      </c>
      <c r="I14" s="148">
        <f>LOOKUP(I31,$S$2:$T$69,$T$2:$T$69)</f>
        <v>0</v>
      </c>
      <c r="J14" s="148" t="str">
        <f t="shared" ref="J14:K17" si="10">LOOKUP(J31,$X$2:$Y$43,$Y$2:$Y$43)</f>
        <v>ス</v>
      </c>
      <c r="K14" s="159" t="str">
        <f t="shared" si="10"/>
        <v>ス</v>
      </c>
      <c r="L14" s="148">
        <f>LOOKUP(L31,$S$2:$T$69,$T$2:$T$69)</f>
        <v>0</v>
      </c>
      <c r="M14" s="148" t="str">
        <f t="shared" ref="M14:N17" si="11">LOOKUP(M31,$X$2:$Y$43,$Y$2:$Y$43)</f>
        <v>ス</v>
      </c>
      <c r="N14" s="159" t="str">
        <f t="shared" si="11"/>
        <v>ス</v>
      </c>
      <c r="O14" s="148">
        <f>LOOKUP(O31,$S$2:$T$69,$T$2:$T$69)</f>
        <v>0</v>
      </c>
      <c r="P14" s="148" t="str">
        <f>LOOKUP(P31,$X$2:$Y$43,$Y$2:$Y$43)</f>
        <v>ス</v>
      </c>
      <c r="Q14" s="150"/>
      <c r="R14" s="322"/>
      <c r="S14" s="154">
        <v>13</v>
      </c>
      <c r="T14" s="155"/>
      <c r="U14" s="156">
        <f>COUNTIF(C21:O34,"=13")</f>
        <v>0</v>
      </c>
      <c r="V14" s="322"/>
      <c r="W14" s="150"/>
      <c r="X14" s="168"/>
      <c r="Y14" s="155"/>
      <c r="Z14" s="169">
        <f>SUM(Z2:Z13)</f>
        <v>16</v>
      </c>
      <c r="AA14" s="150"/>
    </row>
    <row r="15" spans="1:27" ht="14.1" customHeight="1" x14ac:dyDescent="0.15">
      <c r="A15" s="160">
        <v>10</v>
      </c>
      <c r="B15" s="161" t="str">
        <f>LOOKUP(B32,$X$2:$Y$43,$Y$2:$Y$43)</f>
        <v>ス</v>
      </c>
      <c r="C15" s="162">
        <f>LOOKUP(C32,$S$2:$T$69,$T$2:$T$69)</f>
        <v>0</v>
      </c>
      <c r="D15" s="162" t="str">
        <f t="shared" si="8"/>
        <v>ス</v>
      </c>
      <c r="E15" s="161" t="str">
        <f t="shared" si="8"/>
        <v>ス</v>
      </c>
      <c r="F15" s="162">
        <f>LOOKUP(F32,$S$2:$T$69,$T$2:$T$69)</f>
        <v>0</v>
      </c>
      <c r="G15" s="162" t="str">
        <f t="shared" si="9"/>
        <v>ス</v>
      </c>
      <c r="H15" s="161" t="str">
        <f t="shared" si="9"/>
        <v>ス</v>
      </c>
      <c r="I15" s="162">
        <f>LOOKUP(I32,$S$2:$T$69,$T$2:$T$69)</f>
        <v>0</v>
      </c>
      <c r="J15" s="162" t="str">
        <f t="shared" si="10"/>
        <v>ス</v>
      </c>
      <c r="K15" s="161" t="str">
        <f t="shared" si="10"/>
        <v>ス</v>
      </c>
      <c r="L15" s="162">
        <f>LOOKUP(L32,$S$2:$T$69,$T$2:$T$69)</f>
        <v>0</v>
      </c>
      <c r="M15" s="162" t="str">
        <f t="shared" si="11"/>
        <v>ス</v>
      </c>
      <c r="N15" s="161" t="str">
        <f t="shared" si="11"/>
        <v>ス</v>
      </c>
      <c r="O15" s="162">
        <f>LOOKUP(O32,$S$2:$T$69,$T$2:$T$69)</f>
        <v>0</v>
      </c>
      <c r="P15" s="162" t="str">
        <f>LOOKUP(P32,$X$2:$Y$43,$Y$2:$Y$43)</f>
        <v>ス</v>
      </c>
      <c r="Q15" s="150"/>
      <c r="R15" s="322"/>
      <c r="S15" s="154">
        <v>14</v>
      </c>
      <c r="T15" s="155"/>
      <c r="U15" s="156">
        <f>COUNTIF(C21:O34,"=14")</f>
        <v>0</v>
      </c>
      <c r="V15" s="322"/>
      <c r="W15" s="150"/>
      <c r="X15" s="168"/>
      <c r="Y15" s="155"/>
      <c r="Z15" s="149"/>
    </row>
    <row r="16" spans="1:27" ht="14.1" customHeight="1" x14ac:dyDescent="0.15">
      <c r="A16" s="160">
        <v>11</v>
      </c>
      <c r="B16" s="161" t="str">
        <f>LOOKUP(B33,$X$2:$Y$43,$Y$2:$Y$43)</f>
        <v>ス</v>
      </c>
      <c r="C16" s="162">
        <f>LOOKUP(C33,$S$2:$T$69,$T$2:$T$69)</f>
        <v>0</v>
      </c>
      <c r="D16" s="162" t="str">
        <f t="shared" si="8"/>
        <v>ス</v>
      </c>
      <c r="E16" s="161" t="str">
        <f t="shared" si="8"/>
        <v>ス</v>
      </c>
      <c r="F16" s="162">
        <f>LOOKUP(F33,$S$2:$T$69,$T$2:$T$69)</f>
        <v>0</v>
      </c>
      <c r="G16" s="162" t="str">
        <f t="shared" si="9"/>
        <v>ス</v>
      </c>
      <c r="H16" s="161" t="str">
        <f t="shared" si="9"/>
        <v>ス</v>
      </c>
      <c r="I16" s="162">
        <f>LOOKUP(I33,$S$2:$T$69,$T$2:$T$69)</f>
        <v>0</v>
      </c>
      <c r="J16" s="162" t="str">
        <f t="shared" si="10"/>
        <v>ス</v>
      </c>
      <c r="K16" s="161" t="str">
        <f t="shared" si="10"/>
        <v>ス</v>
      </c>
      <c r="L16" s="162">
        <f>LOOKUP(L33,$S$2:$T$69,$T$2:$T$69)</f>
        <v>0</v>
      </c>
      <c r="M16" s="162" t="str">
        <f t="shared" si="11"/>
        <v>ス</v>
      </c>
      <c r="N16" s="161" t="str">
        <f t="shared" si="11"/>
        <v>ス</v>
      </c>
      <c r="O16" s="162">
        <f>LOOKUP(O33,$S$2:$T$69,$T$2:$T$69)</f>
        <v>0</v>
      </c>
      <c r="P16" s="162" t="str">
        <f>LOOKUP(P33,$X$2:$Y$43,$Y$2:$Y$43)</f>
        <v>ス</v>
      </c>
      <c r="Q16" s="150"/>
      <c r="R16" s="322"/>
      <c r="S16" s="154">
        <v>15</v>
      </c>
      <c r="T16" s="155"/>
      <c r="U16" s="156">
        <f>COUNTIF(C21:O34,"=15")</f>
        <v>0</v>
      </c>
      <c r="V16" s="322"/>
      <c r="W16" s="150"/>
      <c r="X16" s="168"/>
      <c r="Y16" s="155"/>
      <c r="Z16" s="150"/>
    </row>
    <row r="17" spans="1:27" ht="14.1" customHeight="1" x14ac:dyDescent="0.15">
      <c r="A17" s="160">
        <v>12</v>
      </c>
      <c r="B17" s="161" t="str">
        <f>LOOKUP(B34,$X$2:$Y$43,$Y$2:$Y$43)</f>
        <v>ス</v>
      </c>
      <c r="C17" s="162">
        <f>LOOKUP(C34,$S$2:$T$69,$T$2:$T$69)</f>
        <v>0</v>
      </c>
      <c r="D17" s="162" t="str">
        <f t="shared" si="8"/>
        <v>ス</v>
      </c>
      <c r="E17" s="161" t="str">
        <f t="shared" si="8"/>
        <v>ス</v>
      </c>
      <c r="F17" s="162">
        <f>LOOKUP(F34,$S$2:$T$69,$T$2:$T$69)</f>
        <v>0</v>
      </c>
      <c r="G17" s="162" t="str">
        <f t="shared" si="9"/>
        <v>ス</v>
      </c>
      <c r="H17" s="161" t="str">
        <f t="shared" si="9"/>
        <v>ス</v>
      </c>
      <c r="I17" s="162">
        <f>LOOKUP(I34,$S$2:$T$69,$T$2:$T$69)</f>
        <v>0</v>
      </c>
      <c r="J17" s="162" t="str">
        <f t="shared" si="10"/>
        <v>ス</v>
      </c>
      <c r="K17" s="161" t="str">
        <f t="shared" si="10"/>
        <v>ス</v>
      </c>
      <c r="L17" s="162">
        <f>LOOKUP(L34,$S$2:$T$69,$T$2:$T$69)</f>
        <v>0</v>
      </c>
      <c r="M17" s="162" t="str">
        <f t="shared" si="11"/>
        <v>ス</v>
      </c>
      <c r="N17" s="161" t="str">
        <f t="shared" si="11"/>
        <v>ス</v>
      </c>
      <c r="O17" s="162">
        <f>LOOKUP(O34,$S$2:$T$69,$T$2:$T$69)</f>
        <v>0</v>
      </c>
      <c r="P17" s="162" t="str">
        <f>LOOKUP(P34,$X$2:$Y$43,$Y$2:$Y$43)</f>
        <v>ス</v>
      </c>
      <c r="Q17" s="150"/>
      <c r="R17" s="322"/>
      <c r="S17" s="149"/>
      <c r="T17" s="166" t="s">
        <v>235</v>
      </c>
      <c r="U17" s="167">
        <f>SUM(U11:U16)</f>
        <v>0</v>
      </c>
      <c r="V17" s="322"/>
      <c r="W17" s="150"/>
      <c r="X17" s="168"/>
      <c r="Y17" s="155"/>
      <c r="Z17" s="150"/>
    </row>
    <row r="18" spans="1:27" ht="14.25" x14ac:dyDescent="0.15">
      <c r="A18" s="163"/>
      <c r="B18" s="164"/>
      <c r="C18" s="164"/>
      <c r="D18" s="164"/>
      <c r="E18" s="164"/>
      <c r="F18" s="164"/>
      <c r="G18" s="164"/>
      <c r="H18" s="164"/>
      <c r="I18" s="165"/>
      <c r="J18" s="165"/>
      <c r="K18" s="164"/>
      <c r="L18" s="164"/>
      <c r="M18" s="164"/>
      <c r="N18" s="164"/>
      <c r="O18" s="164"/>
      <c r="P18" s="164"/>
      <c r="R18" s="322"/>
      <c r="S18" s="156"/>
      <c r="T18" s="170" t="s">
        <v>236</v>
      </c>
      <c r="U18" s="169">
        <f>U10+U17</f>
        <v>5</v>
      </c>
      <c r="V18" s="322"/>
      <c r="W18" s="150"/>
      <c r="X18" s="171">
        <v>50</v>
      </c>
      <c r="Y18" s="172" t="s">
        <v>237</v>
      </c>
      <c r="Z18" s="167">
        <f>COUNTIF(C21:P34,"=50")</f>
        <v>12</v>
      </c>
      <c r="AA18" s="150"/>
    </row>
    <row r="19" spans="1:27" ht="15.75" customHeight="1" x14ac:dyDescent="0.2">
      <c r="B19" s="324" t="s">
        <v>238</v>
      </c>
      <c r="C19" s="325"/>
      <c r="D19" s="325"/>
      <c r="E19" s="325"/>
      <c r="F19" s="325"/>
      <c r="G19" s="325"/>
      <c r="H19" s="325"/>
      <c r="I19" s="326"/>
      <c r="J19" s="326"/>
      <c r="K19" s="326"/>
      <c r="L19" s="325"/>
      <c r="M19" s="325"/>
      <c r="N19" s="325"/>
      <c r="O19" s="325"/>
      <c r="P19" s="150"/>
      <c r="R19" s="321" t="s">
        <v>239</v>
      </c>
      <c r="S19" s="147">
        <v>22</v>
      </c>
      <c r="T19" s="152" t="s">
        <v>404</v>
      </c>
      <c r="U19" s="149">
        <f>COUNTIF(C21:O34,"=22")</f>
        <v>3</v>
      </c>
      <c r="V19" s="323" t="s">
        <v>208</v>
      </c>
      <c r="W19" s="150"/>
      <c r="X19" s="173">
        <v>51</v>
      </c>
      <c r="Y19" s="174" t="s">
        <v>241</v>
      </c>
      <c r="Z19" s="169">
        <f>COUNTIF(C21:P34,"=51")</f>
        <v>4</v>
      </c>
      <c r="AA19" s="150"/>
    </row>
    <row r="20" spans="1:27" ht="12.75" x14ac:dyDescent="0.15">
      <c r="B20" s="175"/>
      <c r="C20" s="175"/>
      <c r="D20" s="175"/>
      <c r="E20" s="175"/>
      <c r="F20" s="175"/>
      <c r="G20" s="175"/>
      <c r="H20" s="175"/>
      <c r="I20" s="176"/>
      <c r="J20" s="176"/>
      <c r="K20" s="175"/>
      <c r="L20" s="175"/>
      <c r="M20" s="175"/>
      <c r="N20" s="175"/>
      <c r="O20" s="175"/>
      <c r="R20" s="322"/>
      <c r="S20" s="154">
        <v>23</v>
      </c>
      <c r="T20" s="155"/>
      <c r="U20" s="156">
        <f>COUNTIF(C21:O34,"=23")</f>
        <v>0</v>
      </c>
      <c r="V20" s="322"/>
      <c r="W20" s="150"/>
      <c r="X20" s="168"/>
      <c r="Y20" s="155"/>
      <c r="Z20" s="149"/>
    </row>
    <row r="21" spans="1:27" ht="14.25" x14ac:dyDescent="0.15">
      <c r="A21" s="158">
        <v>1</v>
      </c>
      <c r="B21" s="177" t="s">
        <v>211</v>
      </c>
      <c r="C21" s="178">
        <v>1</v>
      </c>
      <c r="D21" s="179">
        <v>50</v>
      </c>
      <c r="E21" s="177" t="s">
        <v>211</v>
      </c>
      <c r="F21" s="178">
        <v>1</v>
      </c>
      <c r="G21" s="179">
        <v>50</v>
      </c>
      <c r="H21" s="177" t="s">
        <v>211</v>
      </c>
      <c r="I21" s="178">
        <v>1</v>
      </c>
      <c r="J21" s="179">
        <v>50</v>
      </c>
      <c r="K21" s="177" t="s">
        <v>211</v>
      </c>
      <c r="L21" s="178">
        <v>1</v>
      </c>
      <c r="M21" s="179">
        <v>50</v>
      </c>
      <c r="N21" s="180">
        <v>100</v>
      </c>
      <c r="O21" s="181">
        <v>100</v>
      </c>
      <c r="P21" s="181">
        <v>100</v>
      </c>
      <c r="Q21" s="150"/>
      <c r="R21" s="322"/>
      <c r="S21" s="154">
        <v>24</v>
      </c>
      <c r="T21" s="155"/>
      <c r="U21" s="156">
        <f>COUNTIF(C21:O34,"=24")</f>
        <v>0</v>
      </c>
      <c r="V21" s="327"/>
      <c r="W21" s="150"/>
      <c r="X21" s="168"/>
      <c r="Y21" s="155"/>
      <c r="Z21" s="150"/>
    </row>
    <row r="22" spans="1:27" ht="14.25" x14ac:dyDescent="0.15">
      <c r="A22" s="160">
        <v>2</v>
      </c>
      <c r="B22" s="182" t="s">
        <v>220</v>
      </c>
      <c r="C22" s="183">
        <v>35</v>
      </c>
      <c r="D22" s="184">
        <v>50</v>
      </c>
      <c r="E22" s="182" t="s">
        <v>216</v>
      </c>
      <c r="F22" s="183">
        <v>22</v>
      </c>
      <c r="G22" s="184">
        <v>50</v>
      </c>
      <c r="H22" s="182" t="s">
        <v>216</v>
      </c>
      <c r="I22" s="183">
        <v>22</v>
      </c>
      <c r="J22" s="184">
        <v>50</v>
      </c>
      <c r="K22" s="182" t="s">
        <v>211</v>
      </c>
      <c r="L22" s="183">
        <v>1</v>
      </c>
      <c r="M22" s="184">
        <v>50</v>
      </c>
      <c r="N22" s="185">
        <v>100</v>
      </c>
      <c r="O22" s="186">
        <v>100</v>
      </c>
      <c r="P22" s="186">
        <v>100</v>
      </c>
      <c r="Q22" s="150"/>
      <c r="R22" s="322"/>
      <c r="S22" s="154">
        <v>25</v>
      </c>
      <c r="T22" s="155"/>
      <c r="U22" s="156">
        <f>COUNTIF(C21:O34,"=25")</f>
        <v>0</v>
      </c>
      <c r="V22" s="322"/>
      <c r="W22" s="150"/>
      <c r="X22" s="187"/>
      <c r="Y22" s="175"/>
    </row>
    <row r="23" spans="1:27" ht="14.25" x14ac:dyDescent="0.15">
      <c r="A23" s="160">
        <v>3</v>
      </c>
      <c r="B23" s="182" t="s">
        <v>216</v>
      </c>
      <c r="C23" s="183">
        <v>22</v>
      </c>
      <c r="D23" s="184">
        <v>50</v>
      </c>
      <c r="E23" s="182" t="s">
        <v>224</v>
      </c>
      <c r="F23" s="183">
        <v>47</v>
      </c>
      <c r="G23" s="184">
        <v>50</v>
      </c>
      <c r="H23" s="182" t="s">
        <v>218</v>
      </c>
      <c r="I23" s="183">
        <v>40</v>
      </c>
      <c r="J23" s="184">
        <v>50</v>
      </c>
      <c r="K23" s="182" t="s">
        <v>218</v>
      </c>
      <c r="L23" s="183">
        <v>40</v>
      </c>
      <c r="M23" s="184">
        <v>50</v>
      </c>
      <c r="N23" s="185">
        <v>100</v>
      </c>
      <c r="O23" s="186">
        <v>100</v>
      </c>
      <c r="P23" s="186">
        <v>100</v>
      </c>
      <c r="Q23" s="150"/>
      <c r="R23" s="322"/>
      <c r="S23" s="149"/>
      <c r="T23" s="166" t="s">
        <v>226</v>
      </c>
      <c r="U23" s="167">
        <f>SUM(U19:U22)</f>
        <v>3</v>
      </c>
      <c r="V23" s="322"/>
      <c r="W23" s="150"/>
    </row>
    <row r="24" spans="1:27" ht="14.25" x14ac:dyDescent="0.15">
      <c r="A24" s="160">
        <v>4</v>
      </c>
      <c r="B24" s="182" t="s">
        <v>209</v>
      </c>
      <c r="C24" s="183">
        <v>57</v>
      </c>
      <c r="D24" s="188">
        <v>51</v>
      </c>
      <c r="E24" s="182" t="s">
        <v>220</v>
      </c>
      <c r="F24" s="183">
        <v>39</v>
      </c>
      <c r="G24" s="188">
        <v>51</v>
      </c>
      <c r="H24" s="182" t="s">
        <v>214</v>
      </c>
      <c r="I24" s="183">
        <v>27</v>
      </c>
      <c r="J24" s="188">
        <v>51</v>
      </c>
      <c r="K24" s="182" t="s">
        <v>209</v>
      </c>
      <c r="L24" s="183">
        <v>55</v>
      </c>
      <c r="M24" s="188">
        <v>51</v>
      </c>
      <c r="N24" s="185">
        <v>100</v>
      </c>
      <c r="O24" s="186">
        <v>100</v>
      </c>
      <c r="P24" s="186">
        <v>100</v>
      </c>
      <c r="Q24" s="150"/>
      <c r="R24" s="322"/>
      <c r="S24" s="147">
        <v>27</v>
      </c>
      <c r="T24" s="152" t="s">
        <v>386</v>
      </c>
      <c r="U24" s="149">
        <f>COUNTIF(C21:O34,"=27")</f>
        <v>1</v>
      </c>
      <c r="V24" s="323" t="s">
        <v>229</v>
      </c>
      <c r="W24" s="189"/>
    </row>
    <row r="25" spans="1:27" ht="14.25" x14ac:dyDescent="0.15">
      <c r="A25" s="158"/>
      <c r="B25" s="190"/>
      <c r="C25" s="181"/>
      <c r="D25" s="181"/>
      <c r="E25" s="180"/>
      <c r="F25" s="181"/>
      <c r="G25" s="181"/>
      <c r="H25" s="180"/>
      <c r="I25" s="181"/>
      <c r="J25" s="181"/>
      <c r="K25" s="180"/>
      <c r="L25" s="181"/>
      <c r="M25" s="181"/>
      <c r="N25" s="180"/>
      <c r="O25" s="181"/>
      <c r="P25" s="181"/>
      <c r="Q25" s="191"/>
      <c r="R25" s="322"/>
      <c r="S25" s="154">
        <v>28</v>
      </c>
      <c r="T25" s="155" t="s">
        <v>405</v>
      </c>
      <c r="U25" s="156">
        <f>COUNTIF(C21:O34,"=28")</f>
        <v>0</v>
      </c>
      <c r="V25" s="322"/>
      <c r="W25" s="150"/>
    </row>
    <row r="26" spans="1:27" ht="14.25" x14ac:dyDescent="0.15">
      <c r="A26" s="158">
        <v>5</v>
      </c>
      <c r="B26" s="180">
        <v>100</v>
      </c>
      <c r="C26" s="181">
        <v>100</v>
      </c>
      <c r="D26" s="181">
        <v>100</v>
      </c>
      <c r="E26" s="180">
        <v>100</v>
      </c>
      <c r="F26" s="181">
        <v>100</v>
      </c>
      <c r="G26" s="181">
        <v>100</v>
      </c>
      <c r="H26" s="180">
        <v>100</v>
      </c>
      <c r="I26" s="181">
        <v>100</v>
      </c>
      <c r="J26" s="181">
        <v>100</v>
      </c>
      <c r="K26" s="180">
        <v>100</v>
      </c>
      <c r="L26" s="181">
        <v>100</v>
      </c>
      <c r="M26" s="181">
        <v>100</v>
      </c>
      <c r="N26" s="180">
        <v>100</v>
      </c>
      <c r="O26" s="181">
        <v>100</v>
      </c>
      <c r="P26" s="181">
        <v>100</v>
      </c>
      <c r="Q26" s="150"/>
      <c r="R26" s="322"/>
      <c r="S26" s="154">
        <v>29</v>
      </c>
      <c r="T26" s="155" t="s">
        <v>406</v>
      </c>
      <c r="U26" s="156">
        <f>COUNTIF(C21:O34,"=29")</f>
        <v>0</v>
      </c>
      <c r="V26" s="322"/>
      <c r="W26" s="150"/>
    </row>
    <row r="27" spans="1:27" ht="15" customHeight="1" x14ac:dyDescent="0.15">
      <c r="A27" s="160">
        <v>6</v>
      </c>
      <c r="B27" s="185">
        <v>100</v>
      </c>
      <c r="C27" s="186">
        <v>100</v>
      </c>
      <c r="D27" s="186">
        <v>100</v>
      </c>
      <c r="E27" s="185">
        <v>100</v>
      </c>
      <c r="F27" s="186">
        <v>100</v>
      </c>
      <c r="G27" s="186">
        <v>100</v>
      </c>
      <c r="H27" s="185">
        <v>100</v>
      </c>
      <c r="I27" s="186">
        <v>100</v>
      </c>
      <c r="J27" s="186">
        <v>100</v>
      </c>
      <c r="K27" s="185">
        <v>100</v>
      </c>
      <c r="L27" s="186">
        <v>100</v>
      </c>
      <c r="M27" s="186">
        <v>100</v>
      </c>
      <c r="N27" s="185">
        <v>100</v>
      </c>
      <c r="O27" s="186">
        <v>100</v>
      </c>
      <c r="P27" s="186">
        <v>100</v>
      </c>
      <c r="Q27" s="150"/>
      <c r="R27" s="322"/>
      <c r="S27" s="154">
        <v>30</v>
      </c>
      <c r="T27" s="155" t="s">
        <v>407</v>
      </c>
      <c r="U27" s="156">
        <f>COUNTIF(C21:O34,"=30")</f>
        <v>0</v>
      </c>
      <c r="V27" s="323"/>
      <c r="W27" s="189"/>
    </row>
    <row r="28" spans="1:27" ht="14.25" x14ac:dyDescent="0.15">
      <c r="A28" s="160">
        <v>7</v>
      </c>
      <c r="B28" s="185">
        <v>100</v>
      </c>
      <c r="C28" s="186">
        <v>100</v>
      </c>
      <c r="D28" s="186">
        <v>100</v>
      </c>
      <c r="E28" s="185">
        <v>100</v>
      </c>
      <c r="F28" s="186">
        <v>100</v>
      </c>
      <c r="G28" s="186">
        <v>100</v>
      </c>
      <c r="H28" s="185">
        <v>100</v>
      </c>
      <c r="I28" s="186">
        <v>100</v>
      </c>
      <c r="J28" s="186">
        <v>100</v>
      </c>
      <c r="K28" s="185">
        <v>100</v>
      </c>
      <c r="L28" s="186">
        <v>100</v>
      </c>
      <c r="M28" s="186">
        <v>100</v>
      </c>
      <c r="N28" s="185">
        <v>100</v>
      </c>
      <c r="O28" s="186">
        <v>100</v>
      </c>
      <c r="P28" s="186">
        <v>100</v>
      </c>
      <c r="Q28" s="150"/>
      <c r="R28" s="322"/>
      <c r="S28" s="154">
        <v>31</v>
      </c>
      <c r="T28" s="155" t="s">
        <v>408</v>
      </c>
      <c r="U28" s="156">
        <f>COUNTIF(C21:O34,"=31")</f>
        <v>0</v>
      </c>
      <c r="V28" s="322"/>
      <c r="W28" s="150"/>
    </row>
    <row r="29" spans="1:27" ht="14.25" x14ac:dyDescent="0.15">
      <c r="A29" s="160">
        <v>8</v>
      </c>
      <c r="B29" s="185">
        <v>100</v>
      </c>
      <c r="C29" s="186">
        <v>100</v>
      </c>
      <c r="D29" s="186">
        <v>100</v>
      </c>
      <c r="E29" s="185">
        <v>100</v>
      </c>
      <c r="F29" s="186">
        <v>100</v>
      </c>
      <c r="G29" s="186">
        <v>100</v>
      </c>
      <c r="H29" s="185">
        <v>100</v>
      </c>
      <c r="I29" s="186">
        <v>100</v>
      </c>
      <c r="J29" s="186">
        <v>100</v>
      </c>
      <c r="K29" s="185">
        <v>100</v>
      </c>
      <c r="L29" s="186">
        <v>100</v>
      </c>
      <c r="M29" s="186">
        <v>100</v>
      </c>
      <c r="N29" s="185">
        <v>100</v>
      </c>
      <c r="O29" s="186">
        <v>100</v>
      </c>
      <c r="P29" s="186">
        <v>100</v>
      </c>
      <c r="Q29" s="150"/>
      <c r="R29" s="322"/>
      <c r="S29" s="154">
        <v>32</v>
      </c>
      <c r="T29" s="155"/>
      <c r="U29" s="156">
        <f>COUNTIF(C21:O34,"=32")</f>
        <v>0</v>
      </c>
      <c r="V29" s="322"/>
      <c r="W29" s="150"/>
    </row>
    <row r="30" spans="1:27" ht="14.25" x14ac:dyDescent="0.15">
      <c r="A30" s="158"/>
      <c r="B30" s="190"/>
      <c r="C30" s="181"/>
      <c r="D30" s="181"/>
      <c r="E30" s="180"/>
      <c r="F30" s="181"/>
      <c r="G30" s="181"/>
      <c r="H30" s="180"/>
      <c r="I30" s="181"/>
      <c r="J30" s="181"/>
      <c r="K30" s="180"/>
      <c r="L30" s="181"/>
      <c r="M30" s="181"/>
      <c r="N30" s="180"/>
      <c r="O30" s="181"/>
      <c r="P30" s="181"/>
      <c r="Q30" s="191"/>
      <c r="R30" s="322"/>
      <c r="S30" s="154">
        <v>33</v>
      </c>
      <c r="T30" s="155"/>
      <c r="U30" s="156">
        <f>COUNTIF(C21:O34,"=33")</f>
        <v>0</v>
      </c>
      <c r="V30" s="322"/>
      <c r="W30" s="150"/>
    </row>
    <row r="31" spans="1:27" ht="14.25" x14ac:dyDescent="0.15">
      <c r="A31" s="158">
        <v>9</v>
      </c>
      <c r="B31" s="180">
        <v>100</v>
      </c>
      <c r="C31" s="181">
        <v>100</v>
      </c>
      <c r="D31" s="181">
        <v>100</v>
      </c>
      <c r="E31" s="180">
        <v>100</v>
      </c>
      <c r="F31" s="181">
        <v>100</v>
      </c>
      <c r="G31" s="181">
        <v>100</v>
      </c>
      <c r="H31" s="180">
        <v>100</v>
      </c>
      <c r="I31" s="181">
        <v>100</v>
      </c>
      <c r="J31" s="181">
        <v>100</v>
      </c>
      <c r="K31" s="180">
        <v>100</v>
      </c>
      <c r="L31" s="181">
        <v>100</v>
      </c>
      <c r="M31" s="181">
        <v>100</v>
      </c>
      <c r="N31" s="180">
        <v>100</v>
      </c>
      <c r="O31" s="181">
        <v>100</v>
      </c>
      <c r="P31" s="181">
        <v>100</v>
      </c>
      <c r="Q31" s="150"/>
      <c r="R31" s="322"/>
      <c r="S31" s="149"/>
      <c r="T31" s="166" t="s">
        <v>235</v>
      </c>
      <c r="U31" s="167">
        <f>SUM(U24:U30)</f>
        <v>1</v>
      </c>
      <c r="V31" s="322"/>
      <c r="W31" s="150"/>
    </row>
    <row r="32" spans="1:27" ht="14.25" x14ac:dyDescent="0.15">
      <c r="A32" s="160">
        <v>10</v>
      </c>
      <c r="B32" s="185">
        <v>100</v>
      </c>
      <c r="C32" s="186">
        <v>100</v>
      </c>
      <c r="D32" s="186">
        <v>100</v>
      </c>
      <c r="E32" s="185">
        <v>100</v>
      </c>
      <c r="F32" s="186">
        <v>100</v>
      </c>
      <c r="G32" s="186">
        <v>100</v>
      </c>
      <c r="H32" s="185">
        <v>100</v>
      </c>
      <c r="I32" s="186">
        <v>100</v>
      </c>
      <c r="J32" s="186">
        <v>100</v>
      </c>
      <c r="K32" s="185">
        <v>100</v>
      </c>
      <c r="L32" s="186">
        <v>100</v>
      </c>
      <c r="M32" s="186">
        <v>100</v>
      </c>
      <c r="N32" s="185">
        <v>100</v>
      </c>
      <c r="O32" s="186">
        <v>100</v>
      </c>
      <c r="P32" s="186">
        <v>100</v>
      </c>
      <c r="Q32" s="150"/>
      <c r="R32" s="322"/>
      <c r="S32" s="156"/>
      <c r="T32" s="170" t="s">
        <v>248</v>
      </c>
      <c r="U32" s="169">
        <f>U23+U31</f>
        <v>4</v>
      </c>
      <c r="V32" s="322"/>
      <c r="W32" s="150"/>
    </row>
    <row r="33" spans="1:23" ht="15" customHeight="1" x14ac:dyDescent="0.15">
      <c r="A33" s="160">
        <v>11</v>
      </c>
      <c r="B33" s="185">
        <v>100</v>
      </c>
      <c r="C33" s="186">
        <v>100</v>
      </c>
      <c r="D33" s="186">
        <v>100</v>
      </c>
      <c r="E33" s="185">
        <v>100</v>
      </c>
      <c r="F33" s="186">
        <v>100</v>
      </c>
      <c r="G33" s="186">
        <v>100</v>
      </c>
      <c r="H33" s="185">
        <v>100</v>
      </c>
      <c r="I33" s="186">
        <v>100</v>
      </c>
      <c r="J33" s="186">
        <v>100</v>
      </c>
      <c r="K33" s="185">
        <v>100</v>
      </c>
      <c r="L33" s="186">
        <v>100</v>
      </c>
      <c r="M33" s="186">
        <v>100</v>
      </c>
      <c r="N33" s="185">
        <v>100</v>
      </c>
      <c r="O33" s="186">
        <v>100</v>
      </c>
      <c r="P33" s="186">
        <v>100</v>
      </c>
      <c r="Q33" s="150"/>
      <c r="R33" s="321" t="s">
        <v>249</v>
      </c>
      <c r="S33" s="192">
        <v>35</v>
      </c>
      <c r="T33" s="152" t="s">
        <v>409</v>
      </c>
      <c r="U33" s="149">
        <f>COUNTIF(C21:O34,"=35")</f>
        <v>1</v>
      </c>
      <c r="V33" s="323" t="s">
        <v>250</v>
      </c>
      <c r="W33" s="189"/>
    </row>
    <row r="34" spans="1:23" ht="14.25" x14ac:dyDescent="0.15">
      <c r="A34" s="160">
        <v>12</v>
      </c>
      <c r="B34" s="185">
        <v>100</v>
      </c>
      <c r="C34" s="186">
        <v>100</v>
      </c>
      <c r="D34" s="186">
        <v>100</v>
      </c>
      <c r="E34" s="185">
        <v>100</v>
      </c>
      <c r="F34" s="186">
        <v>100</v>
      </c>
      <c r="G34" s="186">
        <v>100</v>
      </c>
      <c r="H34" s="185">
        <v>100</v>
      </c>
      <c r="I34" s="186">
        <v>100</v>
      </c>
      <c r="J34" s="186">
        <v>100</v>
      </c>
      <c r="K34" s="185">
        <v>100</v>
      </c>
      <c r="L34" s="186">
        <v>100</v>
      </c>
      <c r="M34" s="186">
        <v>100</v>
      </c>
      <c r="N34" s="185">
        <v>100</v>
      </c>
      <c r="O34" s="186">
        <v>100</v>
      </c>
      <c r="P34" s="186">
        <v>100</v>
      </c>
      <c r="Q34" s="150"/>
      <c r="R34" s="322"/>
      <c r="S34" s="193">
        <v>36</v>
      </c>
      <c r="T34" s="155"/>
      <c r="U34" s="156">
        <f>COUNTIF(C21:O34,"=36")</f>
        <v>0</v>
      </c>
      <c r="V34" s="322"/>
      <c r="W34" s="150"/>
    </row>
    <row r="35" spans="1:23" ht="14.25" x14ac:dyDescent="0.15">
      <c r="A35" s="175"/>
      <c r="B35" s="194"/>
      <c r="C35" s="194"/>
      <c r="D35" s="194"/>
      <c r="E35" s="194"/>
      <c r="F35" s="194"/>
      <c r="G35" s="194"/>
      <c r="H35" s="194"/>
      <c r="I35" s="195"/>
      <c r="J35" s="195"/>
      <c r="K35" s="195"/>
      <c r="L35" s="194"/>
      <c r="M35" s="194"/>
      <c r="N35" s="194"/>
      <c r="O35" s="194"/>
      <c r="P35" s="194"/>
      <c r="R35" s="322"/>
      <c r="S35" s="193">
        <v>37</v>
      </c>
      <c r="T35" s="155"/>
      <c r="U35" s="156">
        <f>COUNTIF(C21:O34,"=37")</f>
        <v>0</v>
      </c>
      <c r="V35" s="322"/>
      <c r="W35" s="150"/>
    </row>
    <row r="36" spans="1:23" ht="14.65" customHeight="1" x14ac:dyDescent="0.15">
      <c r="B36" s="196" t="s">
        <v>251</v>
      </c>
      <c r="R36" s="322"/>
      <c r="S36" s="193">
        <v>38</v>
      </c>
      <c r="T36" s="155"/>
      <c r="U36" s="156">
        <f>COUNTIF(C21:O34,"=38")</f>
        <v>0</v>
      </c>
      <c r="V36" s="322"/>
      <c r="W36" s="150"/>
    </row>
    <row r="37" spans="1:23" ht="15" x14ac:dyDescent="0.15">
      <c r="B37" s="196"/>
      <c r="R37" s="322"/>
      <c r="S37" s="193">
        <v>39</v>
      </c>
      <c r="T37" s="155" t="s">
        <v>252</v>
      </c>
      <c r="U37" s="156">
        <f>COUNTIF(C21:O34,"=39")</f>
        <v>1</v>
      </c>
      <c r="V37" s="322"/>
      <c r="W37" s="150"/>
    </row>
    <row r="38" spans="1:23" ht="15.6" customHeight="1" x14ac:dyDescent="0.2">
      <c r="B38" s="197" t="s">
        <v>190</v>
      </c>
      <c r="R38" s="322"/>
      <c r="S38" s="149"/>
      <c r="T38" s="170" t="s">
        <v>253</v>
      </c>
      <c r="U38" s="167">
        <f>SUM(U33:U37)</f>
        <v>2</v>
      </c>
      <c r="V38" s="322"/>
      <c r="W38" s="150"/>
    </row>
    <row r="39" spans="1:23" ht="14.25" x14ac:dyDescent="0.15">
      <c r="A39" s="328" t="s">
        <v>68</v>
      </c>
      <c r="B39" s="329"/>
      <c r="C39" s="330" t="s">
        <v>90</v>
      </c>
      <c r="D39" s="329"/>
      <c r="E39" s="329"/>
      <c r="F39" s="330" t="s">
        <v>388</v>
      </c>
      <c r="G39" s="329"/>
      <c r="H39" s="329"/>
      <c r="I39" s="330" t="s">
        <v>413</v>
      </c>
      <c r="J39" s="331"/>
      <c r="K39" s="331"/>
      <c r="L39" s="330" t="s">
        <v>312</v>
      </c>
      <c r="M39" s="329"/>
      <c r="N39" s="329"/>
      <c r="O39" s="198" t="s">
        <v>254</v>
      </c>
      <c r="P39" s="150"/>
      <c r="R39" s="321" t="s">
        <v>255</v>
      </c>
      <c r="S39" s="192">
        <v>40</v>
      </c>
      <c r="T39" s="152" t="s">
        <v>410</v>
      </c>
      <c r="U39" s="149">
        <f>COUNTIF(C21:O34,"=40")</f>
        <v>2</v>
      </c>
      <c r="V39" s="322"/>
      <c r="W39" s="150"/>
    </row>
    <row r="40" spans="1:23" ht="14.25" x14ac:dyDescent="0.15">
      <c r="A40" s="332" t="s">
        <v>71</v>
      </c>
      <c r="B40" s="329"/>
      <c r="C40" s="333" t="s">
        <v>140</v>
      </c>
      <c r="D40" s="334"/>
      <c r="E40" s="334"/>
      <c r="F40" s="333" t="s">
        <v>114</v>
      </c>
      <c r="G40" s="334"/>
      <c r="H40" s="334"/>
      <c r="I40" s="333" t="s">
        <v>136</v>
      </c>
      <c r="J40" s="335"/>
      <c r="K40" s="335"/>
      <c r="L40" s="333" t="s">
        <v>108</v>
      </c>
      <c r="M40" s="334"/>
      <c r="N40" s="334"/>
      <c r="O40" s="199" t="s">
        <v>278</v>
      </c>
      <c r="P40" s="150"/>
      <c r="R40" s="322"/>
      <c r="S40" s="193">
        <v>41</v>
      </c>
      <c r="T40" s="155"/>
      <c r="U40" s="156">
        <f>COUNTIF(C21:O34,"=41")</f>
        <v>0</v>
      </c>
      <c r="V40" s="322"/>
      <c r="W40" s="150"/>
    </row>
    <row r="41" spans="1:23" ht="14.25" x14ac:dyDescent="0.15">
      <c r="A41" s="333" t="s">
        <v>74</v>
      </c>
      <c r="B41" s="334"/>
      <c r="C41" s="333" t="s">
        <v>114</v>
      </c>
      <c r="D41" s="334"/>
      <c r="E41" s="334"/>
      <c r="F41" s="333" t="s">
        <v>116</v>
      </c>
      <c r="G41" s="334"/>
      <c r="H41" s="334"/>
      <c r="I41" s="333" t="s">
        <v>141</v>
      </c>
      <c r="J41" s="335"/>
      <c r="K41" s="335"/>
      <c r="L41" s="333" t="s">
        <v>116</v>
      </c>
      <c r="M41" s="334"/>
      <c r="N41" s="334"/>
      <c r="O41" s="199" t="s">
        <v>279</v>
      </c>
      <c r="P41" s="150"/>
      <c r="R41" s="322"/>
      <c r="S41" s="193">
        <v>42</v>
      </c>
      <c r="T41" s="155"/>
      <c r="U41" s="156">
        <f>COUNTIF(C21:O34,"=42")</f>
        <v>0</v>
      </c>
      <c r="V41" s="322"/>
      <c r="W41" s="150"/>
    </row>
    <row r="42" spans="1:23" ht="14.25" x14ac:dyDescent="0.15">
      <c r="A42" s="333" t="s">
        <v>77</v>
      </c>
      <c r="B42" s="334"/>
      <c r="C42" s="333" t="s">
        <v>142</v>
      </c>
      <c r="D42" s="334"/>
      <c r="E42" s="334"/>
      <c r="F42" s="333" t="s">
        <v>115</v>
      </c>
      <c r="G42" s="334"/>
      <c r="H42" s="334"/>
      <c r="I42" s="333" t="s">
        <v>116</v>
      </c>
      <c r="J42" s="335"/>
      <c r="K42" s="335"/>
      <c r="L42" s="333" t="s">
        <v>115</v>
      </c>
      <c r="M42" s="334"/>
      <c r="N42" s="334"/>
      <c r="O42" s="199" t="s">
        <v>280</v>
      </c>
      <c r="P42" s="150"/>
      <c r="R42" s="322"/>
      <c r="S42" s="193">
        <v>43</v>
      </c>
      <c r="T42" s="155"/>
      <c r="U42" s="156">
        <f>COUNTIF(C21:O34,"=43")</f>
        <v>0</v>
      </c>
      <c r="V42" s="322"/>
      <c r="W42" s="150"/>
    </row>
    <row r="43" spans="1:23" ht="15.75" customHeight="1" x14ac:dyDescent="0.1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R43" s="322"/>
      <c r="S43" s="193">
        <v>44</v>
      </c>
      <c r="T43" s="155" t="s">
        <v>252</v>
      </c>
      <c r="U43" s="156">
        <f>COUNTIF(C21:O34,"=44")</f>
        <v>0</v>
      </c>
      <c r="V43" s="323"/>
      <c r="W43" s="189"/>
    </row>
    <row r="44" spans="1:23" ht="12.75" x14ac:dyDescent="0.15">
      <c r="R44" s="149"/>
      <c r="S44" s="149"/>
      <c r="T44" s="170" t="s">
        <v>259</v>
      </c>
      <c r="U44" s="167">
        <f>SUM(U39:U43)</f>
        <v>2</v>
      </c>
      <c r="V44" s="200"/>
      <c r="W44" s="189"/>
    </row>
    <row r="45" spans="1:23" ht="12.75" x14ac:dyDescent="0.15">
      <c r="R45" s="323" t="s">
        <v>260</v>
      </c>
      <c r="S45" s="147">
        <v>45</v>
      </c>
      <c r="T45" s="152" t="s">
        <v>261</v>
      </c>
      <c r="U45" s="152">
        <f>COUNTIF(C21:O34,"=45")</f>
        <v>0</v>
      </c>
      <c r="V45" s="323" t="s">
        <v>229</v>
      </c>
      <c r="W45" s="189"/>
    </row>
    <row r="46" spans="1:23" ht="12.75" x14ac:dyDescent="0.15">
      <c r="R46" s="322"/>
      <c r="S46" s="154">
        <v>46</v>
      </c>
      <c r="T46" s="155" t="s">
        <v>262</v>
      </c>
      <c r="U46" s="155">
        <f>COUNTIF(C21:O34,"=46")</f>
        <v>0</v>
      </c>
      <c r="V46" s="322"/>
      <c r="W46" s="150"/>
    </row>
    <row r="47" spans="1:23" ht="12.75" x14ac:dyDescent="0.15">
      <c r="R47" s="322"/>
      <c r="S47" s="154">
        <v>47</v>
      </c>
      <c r="T47" s="155" t="s">
        <v>252</v>
      </c>
      <c r="U47" s="155">
        <f>COUNTIF(C21:O34,"=47")</f>
        <v>1</v>
      </c>
      <c r="V47" s="322"/>
      <c r="W47" s="150"/>
    </row>
    <row r="48" spans="1:23" ht="12.75" x14ac:dyDescent="0.15">
      <c r="R48" s="322"/>
      <c r="S48" s="154">
        <v>48</v>
      </c>
      <c r="T48" s="155"/>
      <c r="U48" s="155">
        <f>COUNTIF(C21:O34,"=48")</f>
        <v>0</v>
      </c>
      <c r="V48" s="322"/>
      <c r="W48" s="150"/>
    </row>
    <row r="49" spans="18:23" ht="12.75" x14ac:dyDescent="0.15">
      <c r="R49" s="322"/>
      <c r="S49" s="154">
        <v>49</v>
      </c>
      <c r="T49" s="201"/>
      <c r="U49" s="201">
        <f>COUNTIF(C21:O34,"=49")</f>
        <v>0</v>
      </c>
      <c r="V49" s="322"/>
      <c r="W49" s="150"/>
    </row>
    <row r="50" spans="18:23" ht="12.75" x14ac:dyDescent="0.15">
      <c r="R50" s="322"/>
      <c r="S50" s="154"/>
      <c r="T50" s="201"/>
      <c r="U50" s="201"/>
      <c r="V50" s="322"/>
      <c r="W50" s="150"/>
    </row>
    <row r="51" spans="18:23" ht="12.75" x14ac:dyDescent="0.15">
      <c r="R51" s="322"/>
      <c r="S51" s="154"/>
      <c r="T51" s="201"/>
      <c r="U51" s="201"/>
      <c r="V51" s="322"/>
      <c r="W51" s="150"/>
    </row>
    <row r="52" spans="18:23" ht="12.75" x14ac:dyDescent="0.15">
      <c r="R52" s="322"/>
      <c r="S52" s="149"/>
      <c r="T52" s="166" t="s">
        <v>263</v>
      </c>
      <c r="U52" s="167">
        <f>SUM(U45:U51)</f>
        <v>1</v>
      </c>
      <c r="V52" s="322"/>
      <c r="W52" s="150"/>
    </row>
    <row r="53" spans="18:23" ht="12.75" x14ac:dyDescent="0.15">
      <c r="R53" s="323" t="s">
        <v>264</v>
      </c>
      <c r="S53" s="147">
        <v>53</v>
      </c>
      <c r="T53" s="152" t="s">
        <v>265</v>
      </c>
      <c r="U53" s="152">
        <f>COUNTIF(C21:O34,"=53")</f>
        <v>0</v>
      </c>
      <c r="V53" s="322"/>
      <c r="W53" s="150"/>
    </row>
    <row r="54" spans="18:23" ht="12.75" x14ac:dyDescent="0.15">
      <c r="R54" s="322"/>
      <c r="S54" s="154">
        <v>54</v>
      </c>
      <c r="T54" s="155"/>
      <c r="U54" s="155">
        <f>COUNTIF(C21:O34,"=54")</f>
        <v>0</v>
      </c>
      <c r="V54" s="322"/>
      <c r="W54" s="150"/>
    </row>
    <row r="55" spans="18:23" ht="12.75" x14ac:dyDescent="0.15">
      <c r="R55" s="322"/>
      <c r="S55" s="154">
        <v>55</v>
      </c>
      <c r="T55" s="155" t="s">
        <v>266</v>
      </c>
      <c r="U55" s="155">
        <f>COUNTIF(C21:O34,"=55")</f>
        <v>1</v>
      </c>
      <c r="V55" s="322"/>
      <c r="W55" s="150"/>
    </row>
    <row r="56" spans="18:23" ht="12.75" x14ac:dyDescent="0.15">
      <c r="R56" s="322"/>
      <c r="S56" s="154">
        <v>56</v>
      </c>
      <c r="T56" s="155"/>
      <c r="U56" s="155">
        <f>COUNTIF(C21:O34,"=56")</f>
        <v>0</v>
      </c>
      <c r="V56" s="322"/>
      <c r="W56" s="150"/>
    </row>
    <row r="57" spans="18:23" ht="12.75" x14ac:dyDescent="0.15">
      <c r="R57" s="322"/>
      <c r="S57" s="154">
        <v>57</v>
      </c>
      <c r="T57" s="201" t="s">
        <v>267</v>
      </c>
      <c r="U57" s="201">
        <f>COUNTIF(C21:O34,"=57")</f>
        <v>1</v>
      </c>
      <c r="V57" s="322"/>
      <c r="W57" s="150"/>
    </row>
    <row r="58" spans="18:23" ht="12.75" x14ac:dyDescent="0.15">
      <c r="R58" s="336"/>
      <c r="S58" s="154">
        <v>58</v>
      </c>
      <c r="T58" s="201" t="s">
        <v>268</v>
      </c>
      <c r="U58" s="201">
        <f>COUNTIF(C21:O34,"=58")</f>
        <v>0</v>
      </c>
      <c r="V58" s="322"/>
      <c r="W58" s="150"/>
    </row>
    <row r="59" spans="18:23" ht="12.75" x14ac:dyDescent="0.15">
      <c r="R59" s="322"/>
      <c r="S59" s="154">
        <v>59</v>
      </c>
      <c r="T59" s="201" t="s">
        <v>269</v>
      </c>
      <c r="U59" s="201">
        <f>COUNTIF(C21:O34,"=59")</f>
        <v>0</v>
      </c>
      <c r="V59" s="322"/>
      <c r="W59" s="150"/>
    </row>
    <row r="60" spans="18:23" ht="12.75" x14ac:dyDescent="0.15">
      <c r="R60" s="322"/>
      <c r="S60" s="154">
        <v>60</v>
      </c>
      <c r="T60" s="201"/>
      <c r="U60" s="201">
        <f>COUNTIF(C21:O34,"=60")</f>
        <v>0</v>
      </c>
      <c r="V60" s="322"/>
      <c r="W60" s="150"/>
    </row>
    <row r="61" spans="18:23" ht="12.75" x14ac:dyDescent="0.15">
      <c r="R61" s="322"/>
      <c r="S61" s="154">
        <v>61</v>
      </c>
      <c r="T61" s="201"/>
      <c r="U61" s="201">
        <f>COUNTIF(C21:O34,"=61")</f>
        <v>0</v>
      </c>
      <c r="V61" s="322"/>
      <c r="W61" s="150"/>
    </row>
    <row r="62" spans="18:23" ht="12.75" x14ac:dyDescent="0.15">
      <c r="R62" s="322"/>
      <c r="S62" s="154">
        <v>62</v>
      </c>
      <c r="T62" s="201"/>
      <c r="U62" s="201">
        <f>COUNTIF(C21:O34,"=62")</f>
        <v>0</v>
      </c>
      <c r="V62" s="322"/>
      <c r="W62" s="150"/>
    </row>
    <row r="63" spans="18:23" ht="12.75" x14ac:dyDescent="0.15">
      <c r="R63" s="322"/>
      <c r="S63" s="154">
        <v>63</v>
      </c>
      <c r="T63" s="155"/>
      <c r="U63" s="155">
        <f>COUNTIF(C21:O34,"=63")</f>
        <v>0</v>
      </c>
      <c r="V63" s="322"/>
      <c r="W63" s="150"/>
    </row>
    <row r="64" spans="18:23" ht="12.75" x14ac:dyDescent="0.15">
      <c r="R64" s="322"/>
      <c r="S64" s="154">
        <v>64</v>
      </c>
      <c r="T64" s="155"/>
      <c r="U64" s="155">
        <f>COUNTIF(C21:O34,"=64")</f>
        <v>0</v>
      </c>
      <c r="V64" s="322"/>
      <c r="W64" s="150"/>
    </row>
    <row r="65" spans="18:23" ht="12.75" x14ac:dyDescent="0.15">
      <c r="R65" s="322"/>
      <c r="S65" s="149"/>
      <c r="T65" s="166" t="s">
        <v>270</v>
      </c>
      <c r="U65" s="167">
        <f>SUM(U53:U64)</f>
        <v>2</v>
      </c>
      <c r="V65" s="322"/>
      <c r="W65" s="150"/>
    </row>
    <row r="66" spans="18:23" ht="12.75" x14ac:dyDescent="0.15">
      <c r="R66" s="322"/>
      <c r="S66" s="149"/>
      <c r="T66" s="155"/>
      <c r="U66" s="156"/>
      <c r="V66" s="322"/>
      <c r="W66" s="150"/>
    </row>
    <row r="67" spans="18:23" ht="12.75" x14ac:dyDescent="0.15">
      <c r="R67" s="149"/>
      <c r="S67" s="156"/>
      <c r="T67" s="202" t="s">
        <v>271</v>
      </c>
      <c r="U67" s="169">
        <f>U18+U32+U38+U44+U52+U65</f>
        <v>16</v>
      </c>
      <c r="V67" s="156"/>
      <c r="W67" s="150"/>
    </row>
    <row r="68" spans="18:23" ht="12.75" x14ac:dyDescent="0.15">
      <c r="R68" s="149"/>
      <c r="S68" s="147"/>
      <c r="T68" s="156"/>
      <c r="U68" s="149"/>
      <c r="V68" s="156"/>
      <c r="W68" s="150"/>
    </row>
    <row r="69" spans="18:23" ht="12.75" x14ac:dyDescent="0.15">
      <c r="R69" s="203" t="s">
        <v>272</v>
      </c>
      <c r="S69" s="204">
        <v>100</v>
      </c>
      <c r="T69" s="149"/>
      <c r="U69" s="156"/>
      <c r="V69" s="156"/>
      <c r="W69" s="150"/>
    </row>
    <row r="70" spans="18:23" ht="12.75" x14ac:dyDescent="0.15">
      <c r="R70" s="175"/>
      <c r="S70" s="175"/>
      <c r="T70" s="175"/>
      <c r="U70" s="175"/>
      <c r="V70" s="175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 r:id="rId1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7" colorId="22" workbookViewId="0">
      <selection activeCell="C41" sqref="C41:L4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205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207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210</v>
      </c>
      <c r="U3" s="93">
        <f>COUNTIF(C21:O34,"=2")</f>
        <v>3</v>
      </c>
      <c r="V3" s="299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にているかん字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にているかん字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にているかん字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だってだってのおばあさん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だってだってのおばあさん</v>
      </c>
      <c r="P4" s="88" t="str">
        <f>LOOKUP(P21,$X$2:$Y$43,$Y$2:$Y$43)</f>
        <v>現</v>
      </c>
      <c r="Q4" s="9"/>
      <c r="R4" s="299"/>
      <c r="S4" s="94">
        <v>3</v>
      </c>
      <c r="T4" s="95" t="s">
        <v>213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おおい ほう すくない ほう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もののいち</v>
      </c>
      <c r="G5" s="101" t="str">
        <f t="shared" si="1"/>
        <v>現</v>
      </c>
      <c r="H5" s="100" t="str">
        <f t="shared" si="1"/>
        <v>生活科</v>
      </c>
      <c r="I5" s="101" t="str">
        <f>LOOKUP(I22,$S$2:$T$69,$T$2:$T$69)</f>
        <v>学習用具・教科用語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語彙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たすのかな ひくのかな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たすのかな ひくのかな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なんばんめ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なんばんめ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大きさくらべ(1)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だってだってのおばあさん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いいこといっぱい、一年生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いいこといっぱい、一年生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算　数</v>
      </c>
      <c r="C10" s="101" t="str">
        <f>LOOKUP(C27,$S$2:$T$69,$T$2:$T$69)</f>
        <v>大きさくらべ(1)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ス</v>
      </c>
      <c r="H10" s="100" t="str">
        <f t="shared" si="5"/>
        <v>算　数</v>
      </c>
      <c r="I10" s="101" t="str">
        <f>LOOKUP(I27,$S$2:$T$69,$T$2:$T$69)</f>
        <v>大きさくらべ(2)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8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8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240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20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242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99"/>
      <c r="S21" s="94">
        <v>24</v>
      </c>
      <c r="T21" s="95" t="s">
        <v>243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232</v>
      </c>
      <c r="I22" s="117">
        <v>47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 t="s">
        <v>244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57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99"/>
      <c r="S24" s="87">
        <v>27</v>
      </c>
      <c r="T24" s="91" t="s">
        <v>245</v>
      </c>
      <c r="U24" s="82">
        <f>COUNTIF(C21:O34,"=27")</f>
        <v>2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246</v>
      </c>
      <c r="U25" s="93">
        <f>COUNTIF(C21:O34,"=28")</f>
        <v>2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247</v>
      </c>
      <c r="U26" s="93">
        <f>COUNTIF(C21:O34,"=29")</f>
        <v>2</v>
      </c>
      <c r="V26" s="299"/>
      <c r="W26" s="9"/>
      <c r="X26" s="2"/>
    </row>
    <row r="27" spans="1:27" ht="15" customHeight="1" x14ac:dyDescent="0.15">
      <c r="A27" s="99">
        <v>6</v>
      </c>
      <c r="B27" s="116" t="s">
        <v>214</v>
      </c>
      <c r="C27" s="117">
        <v>29</v>
      </c>
      <c r="D27" s="119">
        <v>51</v>
      </c>
      <c r="E27" s="116" t="s">
        <v>224</v>
      </c>
      <c r="F27" s="117">
        <v>47</v>
      </c>
      <c r="G27" s="119">
        <v>51</v>
      </c>
      <c r="H27" s="116" t="s">
        <v>214</v>
      </c>
      <c r="I27" s="117">
        <v>24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58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6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9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/>
      <c r="U33" s="91">
        <f>COUNTIF(C21:O34,"=35")</f>
        <v>0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5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5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5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5">
        <f>COUNTIF(C21:O34,"=39")</f>
        <v>0</v>
      </c>
      <c r="V37" s="299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299"/>
      <c r="S38" s="82"/>
      <c r="T38" s="108" t="s">
        <v>253</v>
      </c>
      <c r="U38" s="105">
        <f>SUM(U33:U37)</f>
        <v>0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70</v>
      </c>
      <c r="G39" s="306"/>
      <c r="H39" s="306"/>
      <c r="I39" s="307" t="s">
        <v>91</v>
      </c>
      <c r="J39" s="308"/>
      <c r="K39" s="308"/>
      <c r="L39" s="133" t="s">
        <v>254</v>
      </c>
      <c r="M39" s="9"/>
      <c r="R39" s="298" t="s">
        <v>255</v>
      </c>
      <c r="S39" s="128">
        <v>40</v>
      </c>
      <c r="T39" s="91"/>
      <c r="U39" s="91">
        <f>COUNTIF(C21:O34,"=40")</f>
        <v>0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169</v>
      </c>
      <c r="D40" s="311"/>
      <c r="E40" s="311"/>
      <c r="F40" s="310" t="s">
        <v>170</v>
      </c>
      <c r="G40" s="311"/>
      <c r="H40" s="311"/>
      <c r="I40" s="310" t="s">
        <v>154</v>
      </c>
      <c r="J40" s="312"/>
      <c r="K40" s="312"/>
      <c r="L40" s="134" t="s">
        <v>256</v>
      </c>
      <c r="M40" s="9"/>
      <c r="R40" s="299"/>
      <c r="S40" s="129">
        <v>41</v>
      </c>
      <c r="T40" s="95"/>
      <c r="U40" s="95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171</v>
      </c>
      <c r="D41" s="311"/>
      <c r="E41" s="311"/>
      <c r="F41" s="310" t="s">
        <v>94</v>
      </c>
      <c r="G41" s="311"/>
      <c r="H41" s="311"/>
      <c r="I41" s="310" t="s">
        <v>172</v>
      </c>
      <c r="J41" s="312"/>
      <c r="K41" s="312"/>
      <c r="L41" s="134" t="s">
        <v>257</v>
      </c>
      <c r="M41" s="9"/>
      <c r="R41" s="299"/>
      <c r="S41" s="129">
        <v>42</v>
      </c>
      <c r="T41" s="95"/>
      <c r="U41" s="95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173</v>
      </c>
      <c r="D42" s="311"/>
      <c r="E42" s="311"/>
      <c r="F42" s="310" t="s">
        <v>174</v>
      </c>
      <c r="G42" s="311"/>
      <c r="H42" s="311"/>
      <c r="I42" s="310" t="s">
        <v>175</v>
      </c>
      <c r="J42" s="312"/>
      <c r="K42" s="312"/>
      <c r="L42" s="134" t="s">
        <v>258</v>
      </c>
      <c r="M42" s="9"/>
      <c r="R42" s="299"/>
      <c r="S42" s="129">
        <v>43</v>
      </c>
      <c r="T42" s="95"/>
      <c r="U42" s="95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99"/>
      <c r="S43" s="129">
        <v>44</v>
      </c>
      <c r="T43" s="95" t="s">
        <v>252</v>
      </c>
      <c r="U43" s="95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4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3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3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12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41" sqref="C41:L4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273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207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210</v>
      </c>
      <c r="U3" s="93">
        <f>COUNTIF(C21:O34,"=2")</f>
        <v>3</v>
      </c>
      <c r="V3" s="299"/>
      <c r="W3" s="9"/>
      <c r="X3" s="96" t="s">
        <v>211</v>
      </c>
      <c r="Y3" s="95" t="s">
        <v>212</v>
      </c>
      <c r="Z3" s="93">
        <f>COUNTIF(B21:P34,"=b")</f>
        <v>8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にているかん字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にているかん字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だってだってのおばあさん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だってだってのおばあさん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いいこといっぱい、一年生</v>
      </c>
      <c r="P4" s="88" t="str">
        <f>LOOKUP(P21,$X$2:$Y$43,$Y$2:$Y$43)</f>
        <v>現</v>
      </c>
      <c r="Q4" s="9"/>
      <c r="R4" s="299"/>
      <c r="S4" s="94">
        <v>3</v>
      </c>
      <c r="T4" s="95" t="s">
        <v>213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おおい ほう すくない ほう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にているかん字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だってだってのおばあさん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大きさくらべ(2)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もうすぐ2年生</v>
      </c>
      <c r="P5" s="101" t="str">
        <f>LOOKUP(P22,$X$2:$Y$43,$Y$2:$Y$43)</f>
        <v>現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たすのかな ひくのかな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もののいち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生活科</v>
      </c>
      <c r="O6" s="101" t="str">
        <f>LOOKUP(O23,$S$2:$T$69,$T$2:$T$69)</f>
        <v>学習用具・教科用語</v>
      </c>
      <c r="P6" s="101" t="str">
        <f>LOOKUP(P23,$X$2:$Y$43,$Y$2:$Y$43)</f>
        <v>現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なんばんめ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大きさくらべ(1)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語彙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いいこといっぱい、一年生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8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8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240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242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99"/>
      <c r="S21" s="94">
        <v>24</v>
      </c>
      <c r="T21" s="95" t="s">
        <v>243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214</v>
      </c>
      <c r="O22" s="117">
        <v>25</v>
      </c>
      <c r="P22" s="118">
        <v>50</v>
      </c>
      <c r="Q22" s="9"/>
      <c r="R22" s="299"/>
      <c r="S22" s="94">
        <v>25</v>
      </c>
      <c r="T22" s="95" t="s">
        <v>244</v>
      </c>
      <c r="U22" s="93">
        <f>COUNTIF(C21:O34,"=25")</f>
        <v>1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23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232</v>
      </c>
      <c r="O23" s="117">
        <v>47</v>
      </c>
      <c r="P23" s="118">
        <v>50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209</v>
      </c>
      <c r="O24" s="117">
        <v>57</v>
      </c>
      <c r="P24" s="119">
        <v>51</v>
      </c>
      <c r="Q24" s="9"/>
      <c r="R24" s="299"/>
      <c r="S24" s="87">
        <v>27</v>
      </c>
      <c r="T24" s="91" t="s">
        <v>245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246</v>
      </c>
      <c r="U25" s="93">
        <f>COUNTIF(C21:O34,"=28")</f>
        <v>1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247</v>
      </c>
      <c r="U26" s="93">
        <f>COUNTIF(C21:O34,"=29")</f>
        <v>1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3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7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/>
      <c r="U33" s="91">
        <f>COUNTIF(C21:O34,"=35")</f>
        <v>0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5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5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5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5">
        <f>COUNTIF(C21:O34,"=39")</f>
        <v>0</v>
      </c>
      <c r="V37" s="299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299"/>
      <c r="S38" s="82"/>
      <c r="T38" s="108" t="s">
        <v>253</v>
      </c>
      <c r="U38" s="105">
        <f>SUM(U33:U37)</f>
        <v>0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06"/>
      <c r="E39" s="306"/>
      <c r="F39" s="314" t="s">
        <v>70</v>
      </c>
      <c r="G39" s="306"/>
      <c r="H39" s="306"/>
      <c r="I39" s="314" t="s">
        <v>91</v>
      </c>
      <c r="J39" s="308"/>
      <c r="K39" s="308"/>
      <c r="L39" s="133" t="s">
        <v>254</v>
      </c>
      <c r="M39" s="9"/>
      <c r="R39" s="298" t="s">
        <v>255</v>
      </c>
      <c r="S39" s="128">
        <v>40</v>
      </c>
      <c r="T39" s="91"/>
      <c r="U39" s="91">
        <f>COUNTIF(C21:O34,"=40")</f>
        <v>0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177</v>
      </c>
      <c r="D40" s="311"/>
      <c r="E40" s="311"/>
      <c r="F40" s="310" t="s">
        <v>178</v>
      </c>
      <c r="G40" s="311"/>
      <c r="H40" s="311"/>
      <c r="I40" s="310" t="s">
        <v>132</v>
      </c>
      <c r="J40" s="312"/>
      <c r="K40" s="312"/>
      <c r="L40" s="134" t="s">
        <v>274</v>
      </c>
      <c r="M40" s="9"/>
      <c r="R40" s="299"/>
      <c r="S40" s="129">
        <v>41</v>
      </c>
      <c r="T40" s="95"/>
      <c r="U40" s="95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179</v>
      </c>
      <c r="D41" s="311"/>
      <c r="E41" s="311"/>
      <c r="F41" s="310" t="s">
        <v>180</v>
      </c>
      <c r="G41" s="311"/>
      <c r="H41" s="311"/>
      <c r="I41" s="310" t="s">
        <v>136</v>
      </c>
      <c r="J41" s="312"/>
      <c r="K41" s="312"/>
      <c r="L41" s="134" t="s">
        <v>275</v>
      </c>
      <c r="M41" s="9"/>
      <c r="R41" s="299"/>
      <c r="S41" s="129">
        <v>42</v>
      </c>
      <c r="T41" s="95"/>
      <c r="U41" s="95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181</v>
      </c>
      <c r="D42" s="311"/>
      <c r="E42" s="311"/>
      <c r="F42" s="310" t="s">
        <v>179</v>
      </c>
      <c r="G42" s="311"/>
      <c r="H42" s="311"/>
      <c r="I42" s="310" t="s">
        <v>162</v>
      </c>
      <c r="J42" s="312"/>
      <c r="K42" s="312"/>
      <c r="L42" s="134" t="s">
        <v>276</v>
      </c>
      <c r="M42" s="9"/>
      <c r="R42" s="299"/>
      <c r="S42" s="129">
        <v>43</v>
      </c>
      <c r="T42" s="95"/>
      <c r="U42" s="95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99"/>
      <c r="S43" s="129">
        <v>44</v>
      </c>
      <c r="T43" s="95" t="s">
        <v>252</v>
      </c>
      <c r="U43" s="95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1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6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41" sqref="C41:L4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277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207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210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にているかん字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にているかん字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だってだってのおばあさん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いいこといっぱい、一年生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213</v>
      </c>
      <c r="U4" s="93">
        <f>COUNTIF(C21:O34,"=3")</f>
        <v>2</v>
      </c>
      <c r="V4" s="29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にているかん字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だってだってのおばあさん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いいこといっぱい、一年生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もうすぐ2年生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おおい ほう すくない ほう</v>
      </c>
      <c r="D6" s="101" t="str">
        <f t="shared" si="0"/>
        <v>現</v>
      </c>
      <c r="E6" s="100" t="str">
        <f t="shared" si="0"/>
        <v>算　数</v>
      </c>
      <c r="F6" s="101" t="str">
        <f>LOOKUP(F23,$S$2:$T$69,$T$2:$T$69)</f>
        <v>もののいち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大きさくらべ(2)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音　楽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/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/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/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7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240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242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 t="s">
        <v>243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211</v>
      </c>
      <c r="I22" s="117">
        <v>3</v>
      </c>
      <c r="J22" s="118">
        <v>50</v>
      </c>
      <c r="K22" s="116" t="s">
        <v>214</v>
      </c>
      <c r="L22" s="117">
        <v>25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 t="s">
        <v>244</v>
      </c>
      <c r="U22" s="93">
        <f>COUNTIF(C21:O34,"=25")</f>
        <v>1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214</v>
      </c>
      <c r="F23" s="117">
        <v>23</v>
      </c>
      <c r="G23" s="118">
        <v>50</v>
      </c>
      <c r="H23" s="116" t="s">
        <v>214</v>
      </c>
      <c r="I23" s="117">
        <v>24</v>
      </c>
      <c r="J23" s="118">
        <v>50</v>
      </c>
      <c r="K23" s="116" t="s">
        <v>232</v>
      </c>
      <c r="L23" s="117">
        <v>47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230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224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245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246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247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0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/>
      <c r="U33" s="91">
        <f>COUNTIF(C21:O34,"=35")</f>
        <v>0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5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5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5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5">
        <f>COUNTIF(C21:O34,"=39")</f>
        <v>0</v>
      </c>
      <c r="V37" s="299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299"/>
      <c r="S38" s="82"/>
      <c r="T38" s="108" t="s">
        <v>253</v>
      </c>
      <c r="U38" s="105">
        <f>SUM(U33:U37)</f>
        <v>0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70</v>
      </c>
      <c r="G39" s="306"/>
      <c r="H39" s="306"/>
      <c r="I39" s="315" t="s">
        <v>91</v>
      </c>
      <c r="J39" s="308"/>
      <c r="K39" s="308"/>
      <c r="L39" s="133" t="s">
        <v>254</v>
      </c>
      <c r="M39" s="9"/>
      <c r="R39" s="298" t="s">
        <v>255</v>
      </c>
      <c r="S39" s="128">
        <v>40</v>
      </c>
      <c r="T39" s="91"/>
      <c r="U39" s="91">
        <f>COUNTIF(C21:O34,"=40")</f>
        <v>0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183</v>
      </c>
      <c r="D40" s="311"/>
      <c r="E40" s="311"/>
      <c r="F40" s="310" t="s">
        <v>184</v>
      </c>
      <c r="G40" s="311"/>
      <c r="H40" s="311"/>
      <c r="I40" s="310" t="s">
        <v>136</v>
      </c>
      <c r="J40" s="312"/>
      <c r="K40" s="312"/>
      <c r="L40" s="134" t="s">
        <v>278</v>
      </c>
      <c r="M40" s="9"/>
      <c r="R40" s="299"/>
      <c r="S40" s="129">
        <v>41</v>
      </c>
      <c r="T40" s="95"/>
      <c r="U40" s="95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140</v>
      </c>
      <c r="D41" s="311"/>
      <c r="E41" s="311"/>
      <c r="F41" s="310" t="s">
        <v>185</v>
      </c>
      <c r="G41" s="311"/>
      <c r="H41" s="311"/>
      <c r="I41" s="310" t="s">
        <v>130</v>
      </c>
      <c r="J41" s="312"/>
      <c r="K41" s="312"/>
      <c r="L41" s="134" t="s">
        <v>279</v>
      </c>
      <c r="M41" s="9"/>
      <c r="R41" s="299"/>
      <c r="S41" s="129">
        <v>42</v>
      </c>
      <c r="T41" s="95"/>
      <c r="U41" s="95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186</v>
      </c>
      <c r="D42" s="311"/>
      <c r="E42" s="311"/>
      <c r="F42" s="310" t="s">
        <v>140</v>
      </c>
      <c r="G42" s="311"/>
      <c r="H42" s="311"/>
      <c r="I42" s="310" t="s">
        <v>116</v>
      </c>
      <c r="J42" s="312"/>
      <c r="K42" s="312"/>
      <c r="L42" s="134" t="s">
        <v>280</v>
      </c>
      <c r="M42" s="9"/>
      <c r="R42" s="299"/>
      <c r="S42" s="129">
        <v>43</v>
      </c>
      <c r="T42" s="95"/>
      <c r="U42" s="95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99"/>
      <c r="S43" s="129">
        <v>44</v>
      </c>
      <c r="T43" s="95" t="s">
        <v>252</v>
      </c>
      <c r="U43" s="95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0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281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282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283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ことばを楽しもう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ことばを楽しもう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ことばを楽しもう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楽しかったよ、二年生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楽しかったよ、二年生</v>
      </c>
      <c r="P4" s="88" t="str">
        <f>LOOKUP(P21,$X$2:$Y$43,$Y$2:$Y$43)</f>
        <v>現</v>
      </c>
      <c r="Q4" s="9"/>
      <c r="R4" s="299"/>
      <c r="S4" s="94">
        <v>3</v>
      </c>
      <c r="T4" s="95" t="s">
        <v>284</v>
      </c>
      <c r="U4" s="93">
        <f>COUNTIF(C21:O34,"=3")</f>
        <v>3</v>
      </c>
      <c r="V4" s="299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はこの 形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何番目</v>
      </c>
      <c r="G5" s="101" t="str">
        <f t="shared" si="1"/>
        <v>現</v>
      </c>
      <c r="H5" s="100" t="str">
        <f t="shared" si="1"/>
        <v>生活科</v>
      </c>
      <c r="I5" s="101" t="str">
        <f>LOOKUP(I22,$S$2:$T$69,$T$2:$T$69)</f>
        <v>学習用具・教科用語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早口言葉（小1）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思い出して書こう（小1）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いろいろな かたち（小1）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いろいろな かたち（小1）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いろいろな かたち（小1）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もののいち（小1）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もののいち（小1）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はんたいのいみのことば</v>
      </c>
      <c r="D9" s="88" t="str">
        <f t="shared" ref="D9:E12" si="4">LOOKUP(D26,$X$2:$Y$43,$Y$2:$Y$43)</f>
        <v>現</v>
      </c>
      <c r="E9" s="98" t="str">
        <f t="shared" si="4"/>
        <v>国　語</v>
      </c>
      <c r="F9" s="88" t="str">
        <f>LOOKUP(F26,$S$2:$T$69,$T$2:$T$69)</f>
        <v>はんたいのいみのことば</v>
      </c>
      <c r="G9" s="88" t="str">
        <f t="shared" ref="G9:H12" si="5">LOOKUP(G26,$X$2:$Y$43,$Y$2:$Y$43)</f>
        <v>現</v>
      </c>
      <c r="H9" s="98" t="str">
        <f t="shared" si="5"/>
        <v>国　語</v>
      </c>
      <c r="I9" s="88" t="str">
        <f>LOOKUP(I26,$S$2:$T$69,$T$2:$T$69)</f>
        <v>はんたいのいみのことば</v>
      </c>
      <c r="J9" s="88" t="str">
        <f t="shared" ref="J9:K12" si="6">LOOKUP(J26,$X$2:$Y$43,$Y$2:$Y$43)</f>
        <v>現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算　数</v>
      </c>
      <c r="C10" s="101" t="str">
        <f>LOOKUP(C27,$S$2:$T$69,$T$2:$T$69)</f>
        <v>もののいち（小1）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ス</v>
      </c>
      <c r="H10" s="100" t="str">
        <f t="shared" si="5"/>
        <v>算　数</v>
      </c>
      <c r="I10" s="101" t="str">
        <f>LOOKUP(I27,$S$2:$T$69,$T$2:$T$69)</f>
        <v>分数</v>
      </c>
      <c r="J10" s="101" t="str">
        <f t="shared" si="6"/>
        <v>現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8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はんたいの ことば（小1）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285</v>
      </c>
      <c r="U11" s="82">
        <f>COUNTIF(C21:O34,"=10")</f>
        <v>1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286</v>
      </c>
      <c r="U12" s="93">
        <f>COUNTIF(C21:O34,"=11")</f>
        <v>1</v>
      </c>
      <c r="V12" s="299"/>
      <c r="W12" s="9"/>
      <c r="X12" s="96" t="s">
        <v>232</v>
      </c>
      <c r="Y12" s="95" t="s">
        <v>233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287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32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3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11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288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20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289</v>
      </c>
      <c r="U20" s="93">
        <f>COUNTIF(C21:O34,"=23")</f>
        <v>1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99"/>
      <c r="S21" s="94">
        <v>24</v>
      </c>
      <c r="T21" s="95" t="s">
        <v>290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23</v>
      </c>
      <c r="G22" s="118">
        <v>50</v>
      </c>
      <c r="H22" s="116" t="s">
        <v>232</v>
      </c>
      <c r="I22" s="117">
        <v>47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99"/>
      <c r="S22" s="94">
        <v>25</v>
      </c>
      <c r="T22" s="95" t="s">
        <v>291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299"/>
      <c r="S23" s="82"/>
      <c r="T23" s="104" t="s">
        <v>226</v>
      </c>
      <c r="U23" s="105">
        <f>SUM(U19:U22)</f>
        <v>3</v>
      </c>
      <c r="V23" s="29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299"/>
      <c r="S24" s="87">
        <v>27</v>
      </c>
      <c r="T24" s="91" t="s">
        <v>292</v>
      </c>
      <c r="U24" s="82">
        <f>COUNTIF(C21:O34,"=27")</f>
        <v>3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293</v>
      </c>
      <c r="U25" s="93">
        <f>COUNTIF(C21:O34,"=28")</f>
        <v>3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294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214</v>
      </c>
      <c r="C27" s="117">
        <v>28</v>
      </c>
      <c r="D27" s="119">
        <v>51</v>
      </c>
      <c r="E27" s="116" t="s">
        <v>224</v>
      </c>
      <c r="F27" s="117">
        <v>47</v>
      </c>
      <c r="G27" s="119">
        <v>51</v>
      </c>
      <c r="H27" s="116" t="s">
        <v>214</v>
      </c>
      <c r="I27" s="117">
        <v>24</v>
      </c>
      <c r="J27" s="118">
        <v>50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222</v>
      </c>
      <c r="C28" s="117">
        <v>47</v>
      </c>
      <c r="D28" s="119">
        <v>51</v>
      </c>
      <c r="E28" s="116" t="s">
        <v>211</v>
      </c>
      <c r="F28" s="117">
        <v>12</v>
      </c>
      <c r="G28" s="119">
        <v>51</v>
      </c>
      <c r="H28" s="116" t="s">
        <v>209</v>
      </c>
      <c r="I28" s="117">
        <v>57</v>
      </c>
      <c r="J28" s="119">
        <v>51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58</v>
      </c>
      <c r="J29" s="119">
        <v>51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6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9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/>
      <c r="U33" s="91">
        <f>COUNTIF(C21:O34,"=35")</f>
        <v>0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5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5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5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5">
        <f>COUNTIF(C21:O34,"=39")</f>
        <v>0</v>
      </c>
      <c r="V37" s="299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299"/>
      <c r="S38" s="82"/>
      <c r="T38" s="108" t="s">
        <v>253</v>
      </c>
      <c r="U38" s="105">
        <f>SUM(U33:U37)</f>
        <v>0</v>
      </c>
      <c r="V38" s="299"/>
      <c r="W38" s="9"/>
      <c r="X38" s="2"/>
    </row>
    <row r="39" spans="1:24" ht="14.25" x14ac:dyDescent="0.15">
      <c r="A39" s="305" t="s">
        <v>68</v>
      </c>
      <c r="B39" s="306"/>
      <c r="C39" s="307" t="s">
        <v>90</v>
      </c>
      <c r="D39" s="306"/>
      <c r="E39" s="306"/>
      <c r="F39" s="307" t="s">
        <v>70</v>
      </c>
      <c r="G39" s="306"/>
      <c r="H39" s="306"/>
      <c r="I39" s="307" t="s">
        <v>91</v>
      </c>
      <c r="J39" s="308"/>
      <c r="K39" s="308"/>
      <c r="L39" s="133" t="s">
        <v>254</v>
      </c>
      <c r="M39" s="9"/>
      <c r="R39" s="298" t="s">
        <v>255</v>
      </c>
      <c r="S39" s="128">
        <v>40</v>
      </c>
      <c r="T39" s="91"/>
      <c r="U39" s="91">
        <f>COUNTIF(C21:O34,"=40")</f>
        <v>0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169</v>
      </c>
      <c r="D40" s="311"/>
      <c r="E40" s="311"/>
      <c r="F40" s="310" t="s">
        <v>170</v>
      </c>
      <c r="G40" s="311"/>
      <c r="H40" s="311"/>
      <c r="I40" s="310" t="s">
        <v>154</v>
      </c>
      <c r="J40" s="312"/>
      <c r="K40" s="312"/>
      <c r="L40" s="134" t="s">
        <v>256</v>
      </c>
      <c r="M40" s="9"/>
      <c r="R40" s="299"/>
      <c r="S40" s="129">
        <v>41</v>
      </c>
      <c r="T40" s="95"/>
      <c r="U40" s="95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171</v>
      </c>
      <c r="D41" s="311"/>
      <c r="E41" s="311"/>
      <c r="F41" s="310" t="s">
        <v>94</v>
      </c>
      <c r="G41" s="311"/>
      <c r="H41" s="311"/>
      <c r="I41" s="310" t="s">
        <v>172</v>
      </c>
      <c r="J41" s="312"/>
      <c r="K41" s="312"/>
      <c r="L41" s="134" t="s">
        <v>257</v>
      </c>
      <c r="M41" s="9"/>
      <c r="R41" s="299"/>
      <c r="S41" s="129">
        <v>42</v>
      </c>
      <c r="T41" s="95"/>
      <c r="U41" s="95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173</v>
      </c>
      <c r="D42" s="311"/>
      <c r="E42" s="311"/>
      <c r="F42" s="310" t="s">
        <v>174</v>
      </c>
      <c r="G42" s="311"/>
      <c r="H42" s="311"/>
      <c r="I42" s="310" t="s">
        <v>175</v>
      </c>
      <c r="J42" s="312"/>
      <c r="K42" s="312"/>
      <c r="L42" s="134" t="s">
        <v>258</v>
      </c>
      <c r="M42" s="9"/>
      <c r="R42" s="299"/>
      <c r="S42" s="129">
        <v>43</v>
      </c>
      <c r="T42" s="95"/>
      <c r="U42" s="95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99"/>
      <c r="S43" s="129">
        <v>44</v>
      </c>
      <c r="T43" s="95" t="s">
        <v>252</v>
      </c>
      <c r="U43" s="95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3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2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2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9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32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30" sqref="T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295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282</v>
      </c>
      <c r="U2" s="82">
        <f>COUNTIF(C21:O34,"=1")</f>
        <v>3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283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9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ことばを楽しもう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ことばを楽しもう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楽しかったよ、二年生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はんたいのいみのことば</v>
      </c>
      <c r="M4" s="88" t="str">
        <f t="shared" ref="M4:N7" si="3">LOOKUP(M21,$X$2:$Y$43,$Y$2:$Y$43)</f>
        <v>現</v>
      </c>
      <c r="N4" s="98" t="str">
        <f t="shared" si="3"/>
        <v>国　語</v>
      </c>
      <c r="O4" s="88" t="str">
        <f>LOOKUP(O21,$S$2:$T$69,$T$2:$T$69)</f>
        <v>はんたいのいみのことば</v>
      </c>
      <c r="P4" s="88" t="str">
        <f>LOOKUP(P21,$X$2:$Y$43,$Y$2:$Y$43)</f>
        <v>現</v>
      </c>
      <c r="Q4" s="9"/>
      <c r="R4" s="299"/>
      <c r="S4" s="94">
        <v>3</v>
      </c>
      <c r="T4" s="95" t="s">
        <v>284</v>
      </c>
      <c r="U4" s="93">
        <f>COUNTIF(C21:O34,"=3")</f>
        <v>3</v>
      </c>
      <c r="V4" s="29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はこの 形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ことばを楽しもう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楽しかったよ、二年生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何番目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分数</v>
      </c>
      <c r="P5" s="101" t="str">
        <f>LOOKUP(P22,$X$2:$Y$43,$Y$2:$Y$43)</f>
        <v>現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いろいろな かたち（小1）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家庭生活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何番目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生活科</v>
      </c>
      <c r="O6" s="101" t="str">
        <f>LOOKUP(O23,$S$2:$T$69,$T$2:$T$69)</f>
        <v>学習用具・教科用語</v>
      </c>
      <c r="P6" s="101" t="str">
        <f>LOOKUP(P23,$X$2:$Y$43,$Y$2:$Y$43)</f>
        <v>現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もののいち（小1）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もののいち（小1）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語彙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8" t="str">
        <f>LOOKUP(C26,$S$2:$T$69,$T$2:$T$69)</f>
        <v>はんたいのいみのことば</v>
      </c>
      <c r="D9" s="88" t="str">
        <f t="shared" ref="D9:E12" si="4">LOOKUP(D26,$X$2:$Y$43,$Y$2:$Y$43)</f>
        <v>現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8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はんたいの ことば（小1）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285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0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286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287</v>
      </c>
      <c r="U13" s="93">
        <f>COUNTIF(C21:O34,"=12")</f>
        <v>1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1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9</v>
      </c>
      <c r="V18" s="299"/>
      <c r="W18" s="9"/>
      <c r="X18" s="109">
        <v>50</v>
      </c>
      <c r="Y18" s="110" t="s">
        <v>237</v>
      </c>
      <c r="Z18" s="105">
        <f>COUNTIF(C21:P34,"=50")</f>
        <v>14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288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10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289</v>
      </c>
      <c r="U20" s="93">
        <f>COUNTIF(C21:O34,"=23")</f>
        <v>2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99"/>
      <c r="S21" s="94">
        <v>24</v>
      </c>
      <c r="T21" s="95" t="s">
        <v>290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24</v>
      </c>
      <c r="P22" s="118">
        <v>50</v>
      </c>
      <c r="Q22" s="9"/>
      <c r="R22" s="299"/>
      <c r="S22" s="94">
        <v>25</v>
      </c>
      <c r="T22" s="95" t="s">
        <v>291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27</v>
      </c>
      <c r="D23" s="119">
        <v>51</v>
      </c>
      <c r="E23" s="116" t="s">
        <v>209</v>
      </c>
      <c r="F23" s="117">
        <v>58</v>
      </c>
      <c r="G23" s="119">
        <v>51</v>
      </c>
      <c r="H23" s="116" t="s">
        <v>214</v>
      </c>
      <c r="I23" s="117">
        <v>23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232</v>
      </c>
      <c r="O23" s="117">
        <v>47</v>
      </c>
      <c r="P23" s="118">
        <v>50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57</v>
      </c>
      <c r="P24" s="119">
        <v>51</v>
      </c>
      <c r="Q24" s="9"/>
      <c r="R24" s="299"/>
      <c r="S24" s="87">
        <v>27</v>
      </c>
      <c r="T24" s="91" t="s">
        <v>292</v>
      </c>
      <c r="U24" s="82">
        <f>COUNTIF(C21:O34,"=27")</f>
        <v>1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293</v>
      </c>
      <c r="U25" s="93">
        <f>COUNTIF(C21:O34,"=28")</f>
        <v>2</v>
      </c>
      <c r="V25" s="29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294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16" t="s">
        <v>222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12</v>
      </c>
      <c r="D28" s="119">
        <v>51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16" t="s">
        <v>224</v>
      </c>
      <c r="C29" s="117">
        <v>47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3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7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/>
      <c r="U33" s="91">
        <f>COUNTIF(C21:O34,"=35")</f>
        <v>0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5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5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5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5">
        <f>COUNTIF(C21:O34,"=39")</f>
        <v>0</v>
      </c>
      <c r="V37" s="299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299"/>
      <c r="S38" s="82"/>
      <c r="T38" s="108" t="s">
        <v>253</v>
      </c>
      <c r="U38" s="105">
        <f>SUM(U33:U37)</f>
        <v>0</v>
      </c>
      <c r="V38" s="299"/>
      <c r="W38" s="9"/>
      <c r="X38" s="2"/>
    </row>
    <row r="39" spans="1:24" ht="14.25" x14ac:dyDescent="0.15">
      <c r="A39" s="305" t="s">
        <v>68</v>
      </c>
      <c r="B39" s="306"/>
      <c r="C39" s="314" t="s">
        <v>90</v>
      </c>
      <c r="D39" s="306"/>
      <c r="E39" s="306"/>
      <c r="F39" s="314" t="s">
        <v>70</v>
      </c>
      <c r="G39" s="306"/>
      <c r="H39" s="306"/>
      <c r="I39" s="314" t="s">
        <v>91</v>
      </c>
      <c r="J39" s="308"/>
      <c r="K39" s="308"/>
      <c r="L39" s="133" t="s">
        <v>254</v>
      </c>
      <c r="M39" s="9"/>
      <c r="R39" s="298" t="s">
        <v>255</v>
      </c>
      <c r="S39" s="128">
        <v>40</v>
      </c>
      <c r="T39" s="91"/>
      <c r="U39" s="91">
        <f>COUNTIF(C21:O34,"=40")</f>
        <v>0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177</v>
      </c>
      <c r="D40" s="311"/>
      <c r="E40" s="311"/>
      <c r="F40" s="310" t="s">
        <v>178</v>
      </c>
      <c r="G40" s="311"/>
      <c r="H40" s="311"/>
      <c r="I40" s="310" t="s">
        <v>132</v>
      </c>
      <c r="J40" s="312"/>
      <c r="K40" s="312"/>
      <c r="L40" s="134" t="s">
        <v>274</v>
      </c>
      <c r="M40" s="9"/>
      <c r="R40" s="299"/>
      <c r="S40" s="129">
        <v>41</v>
      </c>
      <c r="T40" s="95"/>
      <c r="U40" s="95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179</v>
      </c>
      <c r="D41" s="311"/>
      <c r="E41" s="311"/>
      <c r="F41" s="310" t="s">
        <v>180</v>
      </c>
      <c r="G41" s="311"/>
      <c r="H41" s="311"/>
      <c r="I41" s="310" t="s">
        <v>136</v>
      </c>
      <c r="J41" s="312"/>
      <c r="K41" s="312"/>
      <c r="L41" s="134" t="s">
        <v>275</v>
      </c>
      <c r="M41" s="9"/>
      <c r="R41" s="299"/>
      <c r="S41" s="129">
        <v>42</v>
      </c>
      <c r="T41" s="95"/>
      <c r="U41" s="95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181</v>
      </c>
      <c r="D42" s="311"/>
      <c r="E42" s="311"/>
      <c r="F42" s="310" t="s">
        <v>179</v>
      </c>
      <c r="G42" s="311"/>
      <c r="H42" s="311"/>
      <c r="I42" s="310" t="s">
        <v>162</v>
      </c>
      <c r="J42" s="312"/>
      <c r="K42" s="312"/>
      <c r="L42" s="134" t="s">
        <v>276</v>
      </c>
      <c r="M42" s="9"/>
      <c r="R42" s="299"/>
      <c r="S42" s="129">
        <v>43</v>
      </c>
      <c r="T42" s="95"/>
      <c r="U42" s="95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99"/>
      <c r="S43" s="129">
        <v>44</v>
      </c>
      <c r="T43" s="95" t="s">
        <v>252</v>
      </c>
      <c r="U43" s="95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0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2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1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1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5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24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M22" sqref="M2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3" customWidth="1"/>
    <col min="25" max="25" width="8.85546875" customWidth="1"/>
    <col min="26" max="30" width="3.5703125" customWidth="1"/>
  </cols>
  <sheetData>
    <row r="1" spans="1:27" ht="13.5" customHeight="1" x14ac:dyDescent="0.15">
      <c r="B1" s="84"/>
      <c r="C1" s="27"/>
      <c r="T1" t="s">
        <v>204</v>
      </c>
      <c r="X1" s="2"/>
    </row>
    <row r="2" spans="1:27" ht="16.5" customHeight="1" x14ac:dyDescent="0.2">
      <c r="B2" s="85"/>
      <c r="C2" s="296" t="s">
        <v>296</v>
      </c>
      <c r="D2" s="296"/>
      <c r="E2" s="296"/>
      <c r="F2" s="296"/>
      <c r="G2" s="297"/>
      <c r="H2" s="297"/>
      <c r="I2" s="297"/>
      <c r="J2" s="297"/>
      <c r="K2" s="297"/>
      <c r="L2" s="297"/>
      <c r="M2" s="265"/>
      <c r="N2" s="265"/>
      <c r="P2" s="86"/>
      <c r="R2" s="298" t="s">
        <v>206</v>
      </c>
      <c r="S2" s="87">
        <v>1</v>
      </c>
      <c r="T2" s="88" t="s">
        <v>282</v>
      </c>
      <c r="U2" s="82">
        <f>COUNTIF(C21:O34,"=1")</f>
        <v>2</v>
      </c>
      <c r="V2" s="300" t="s">
        <v>208</v>
      </c>
      <c r="W2" s="9"/>
      <c r="X2" s="90" t="s">
        <v>209</v>
      </c>
      <c r="Y2" s="91" t="s">
        <v>69</v>
      </c>
      <c r="Z2" s="82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99"/>
      <c r="S3" s="94">
        <v>2</v>
      </c>
      <c r="T3" s="95" t="s">
        <v>283</v>
      </c>
      <c r="U3" s="93">
        <f>COUNTIF(C21:O34,"=2")</f>
        <v>2</v>
      </c>
      <c r="V3" s="29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8" t="str">
        <f>LOOKUP(C21,$S$2:$T$69,$T$2:$T$69)</f>
        <v>ことばを楽しもう</v>
      </c>
      <c r="D4" s="88" t="str">
        <f t="shared" ref="D4:E7" si="0">LOOKUP(D21,$X$2:$Y$43,$Y$2:$Y$43)</f>
        <v>現</v>
      </c>
      <c r="E4" s="98" t="str">
        <f t="shared" si="0"/>
        <v>国　語</v>
      </c>
      <c r="F4" s="88" t="str">
        <f>LOOKUP(F21,$S$2:$T$69,$T$2:$T$69)</f>
        <v>楽しかったよ、二年生</v>
      </c>
      <c r="G4" s="88" t="str">
        <f t="shared" ref="G4:H7" si="1">LOOKUP(G21,$X$2:$Y$43,$Y$2:$Y$43)</f>
        <v>現</v>
      </c>
      <c r="H4" s="98" t="str">
        <f t="shared" si="1"/>
        <v>国　語</v>
      </c>
      <c r="I4" s="88" t="str">
        <f>LOOKUP(I21,$S$2:$T$69,$T$2:$T$69)</f>
        <v>はんたいのいみのことば</v>
      </c>
      <c r="J4" s="88" t="str">
        <f t="shared" ref="J4:K7" si="2">LOOKUP(J21,$X$2:$Y$43,$Y$2:$Y$43)</f>
        <v>現</v>
      </c>
      <c r="K4" s="98" t="str">
        <f t="shared" si="2"/>
        <v>国　語</v>
      </c>
      <c r="L4" s="88" t="str">
        <f>LOOKUP(L21,$S$2:$T$69,$T$2:$T$69)</f>
        <v>はんたいのいみのことば</v>
      </c>
      <c r="M4" s="88" t="str">
        <f t="shared" ref="M4:N7" si="3">LOOKUP(M21,$X$2:$Y$43,$Y$2:$Y$43)</f>
        <v>現</v>
      </c>
      <c r="N4" s="98" t="str">
        <f t="shared" si="3"/>
        <v>ス</v>
      </c>
      <c r="O4" s="88">
        <f>LOOKUP(O21,$S$2:$T$69,$T$2:$T$69)</f>
        <v>0</v>
      </c>
      <c r="P4" s="88" t="str">
        <f>LOOKUP(P21,$X$2:$Y$43,$Y$2:$Y$43)</f>
        <v>ス</v>
      </c>
      <c r="Q4" s="9"/>
      <c r="R4" s="299"/>
      <c r="S4" s="94">
        <v>3</v>
      </c>
      <c r="T4" s="95" t="s">
        <v>284</v>
      </c>
      <c r="U4" s="93">
        <f>COUNTIF(C21:O34,"=3")</f>
        <v>3</v>
      </c>
      <c r="V4" s="29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ことばを楽しもう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楽しかったよ、二年生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はんたいのいみのことば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分数</v>
      </c>
      <c r="M5" s="101" t="str">
        <f t="shared" si="3"/>
        <v>現</v>
      </c>
      <c r="N5" s="100" t="str">
        <f t="shared" si="3"/>
        <v>ス</v>
      </c>
      <c r="O5" s="101">
        <f>LOOKUP(O22,$S$2:$T$69,$T$2:$T$69)</f>
        <v>0</v>
      </c>
      <c r="P5" s="101" t="str">
        <f>LOOKUP(P22,$X$2:$Y$43,$Y$2:$Y$43)</f>
        <v>ス</v>
      </c>
      <c r="Q5" s="9"/>
      <c r="R5" s="299"/>
      <c r="S5" s="94">
        <v>4</v>
      </c>
      <c r="T5" s="95"/>
      <c r="U5" s="93">
        <f>COUNTIF(C21:O34,"=4")</f>
        <v>0</v>
      </c>
      <c r="V5" s="299"/>
      <c r="W5" s="9"/>
      <c r="X5" s="96" t="s">
        <v>216</v>
      </c>
      <c r="Y5" s="95" t="s">
        <v>217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はこの 形</v>
      </c>
      <c r="D6" s="101" t="str">
        <f t="shared" si="0"/>
        <v>現</v>
      </c>
      <c r="E6" s="100" t="str">
        <f t="shared" si="0"/>
        <v>算　数</v>
      </c>
      <c r="F6" s="101" t="str">
        <f>LOOKUP(F23,$S$2:$T$69,$T$2:$T$69)</f>
        <v>何番目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何番目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ス</v>
      </c>
      <c r="O6" s="101">
        <f>LOOKUP(O23,$S$2:$T$69,$T$2:$T$69)</f>
        <v>0</v>
      </c>
      <c r="P6" s="101" t="str">
        <f>LOOKUP(P23,$X$2:$Y$43,$Y$2:$Y$43)</f>
        <v>ス</v>
      </c>
      <c r="Q6" s="9"/>
      <c r="R6" s="299"/>
      <c r="S6" s="94">
        <v>5</v>
      </c>
      <c r="T6" s="95"/>
      <c r="U6" s="93">
        <f>COUNTIF(C21:O34,"=5")</f>
        <v>0</v>
      </c>
      <c r="V6" s="299"/>
      <c r="W6" s="9"/>
      <c r="X6" s="96" t="s">
        <v>218</v>
      </c>
      <c r="Y6" s="95" t="s">
        <v>219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音　楽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ス</v>
      </c>
      <c r="O7" s="101">
        <f>LOOKUP(O24,$S$2:$T$69,$T$2:$T$69)</f>
        <v>0</v>
      </c>
      <c r="P7" s="101" t="str">
        <f>LOOKUP(P24,$X$2:$Y$43,$Y$2:$Y$43)</f>
        <v>ス</v>
      </c>
      <c r="Q7" s="9"/>
      <c r="R7" s="299"/>
      <c r="S7" s="94">
        <v>6</v>
      </c>
      <c r="T7" s="95"/>
      <c r="U7" s="93">
        <f>COUNTIF(C21:O34,"=6")</f>
        <v>0</v>
      </c>
      <c r="V7" s="299"/>
      <c r="W7" s="9"/>
      <c r="X7" s="96" t="s">
        <v>220</v>
      </c>
      <c r="Y7" s="95" t="s">
        <v>221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99"/>
      <c r="S8" s="94">
        <v>7</v>
      </c>
      <c r="T8" s="95"/>
      <c r="U8" s="93">
        <f>COUNTIF(C21:O34,"=7")</f>
        <v>0</v>
      </c>
      <c r="V8" s="299"/>
      <c r="W8" s="9"/>
      <c r="X8" s="96" t="s">
        <v>222</v>
      </c>
      <c r="Y8" s="95" t="s">
        <v>223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ス</v>
      </c>
      <c r="C9" s="88">
        <f>LOOKUP(C26,$S$2:$T$69,$T$2:$T$69)</f>
        <v>0</v>
      </c>
      <c r="D9" s="88" t="str">
        <f t="shared" ref="D9:E12" si="4">LOOKUP(D26,$X$2:$Y$43,$Y$2:$Y$43)</f>
        <v>ス</v>
      </c>
      <c r="E9" s="98" t="str">
        <f t="shared" si="4"/>
        <v>ス</v>
      </c>
      <c r="F9" s="88">
        <f>LOOKUP(F26,$S$2:$T$69,$T$2:$T$69)</f>
        <v>0</v>
      </c>
      <c r="G9" s="88" t="str">
        <f t="shared" ref="G9:H12" si="5">LOOKUP(G26,$X$2:$Y$43,$Y$2:$Y$43)</f>
        <v>ス</v>
      </c>
      <c r="H9" s="98" t="str">
        <f t="shared" si="5"/>
        <v>ス</v>
      </c>
      <c r="I9" s="88">
        <f>LOOKUP(I26,$S$2:$T$69,$T$2:$T$69)</f>
        <v>0</v>
      </c>
      <c r="J9" s="88" t="str">
        <f t="shared" ref="J9:K12" si="6">LOOKUP(J26,$X$2:$Y$43,$Y$2:$Y$43)</f>
        <v>ス</v>
      </c>
      <c r="K9" s="98" t="str">
        <f t="shared" si="6"/>
        <v>ス</v>
      </c>
      <c r="L9" s="88">
        <f>LOOKUP(L26,$S$2:$T$69,$T$2:$T$69)</f>
        <v>0</v>
      </c>
      <c r="M9" s="88" t="str">
        <f t="shared" ref="M9:N12" si="7">LOOKUP(M26,$X$2:$Y$43,$Y$2:$Y$43)</f>
        <v>ス</v>
      </c>
      <c r="N9" s="98" t="str">
        <f t="shared" si="7"/>
        <v>ス</v>
      </c>
      <c r="O9" s="88">
        <f>LOOKUP(O26,$S$2:$T$69,$T$2:$T$69)</f>
        <v>0</v>
      </c>
      <c r="P9" s="88" t="str">
        <f>LOOKUP(P26,$X$2:$Y$43,$Y$2:$Y$43)</f>
        <v>ス</v>
      </c>
      <c r="Q9" s="9"/>
      <c r="R9" s="299"/>
      <c r="S9" s="94">
        <v>8</v>
      </c>
      <c r="T9" s="95"/>
      <c r="U9" s="93">
        <f>COUNTIF(C21:O34,"=8")</f>
        <v>0</v>
      </c>
      <c r="V9" s="299"/>
      <c r="W9" s="9"/>
      <c r="X9" s="96" t="s">
        <v>224</v>
      </c>
      <c r="Y9" s="95" t="s">
        <v>225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ス</v>
      </c>
      <c r="C10" s="101">
        <f>LOOKUP(C27,$S$2:$T$69,$T$2:$T$69)</f>
        <v>0</v>
      </c>
      <c r="D10" s="101" t="str">
        <f t="shared" si="4"/>
        <v>ス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99"/>
      <c r="S10" s="82"/>
      <c r="T10" s="104" t="s">
        <v>226</v>
      </c>
      <c r="U10" s="105">
        <f>SUM(U2:U9)</f>
        <v>7</v>
      </c>
      <c r="V10" s="299"/>
      <c r="W10" s="9"/>
      <c r="X10" s="96" t="s">
        <v>227</v>
      </c>
      <c r="Y10" s="95" t="s">
        <v>228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ス</v>
      </c>
      <c r="C11" s="101">
        <f>LOOKUP(C28,$S$2:$T$69,$T$2:$T$69)</f>
        <v>0</v>
      </c>
      <c r="D11" s="101" t="str">
        <f t="shared" si="4"/>
        <v>ス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99"/>
      <c r="S11" s="87">
        <v>10</v>
      </c>
      <c r="T11" s="91" t="s">
        <v>285</v>
      </c>
      <c r="U11" s="82">
        <f>COUNTIF(C21:O34,"=10")</f>
        <v>0</v>
      </c>
      <c r="V11" s="300" t="s">
        <v>229</v>
      </c>
      <c r="W11" s="9"/>
      <c r="X11" s="96" t="s">
        <v>230</v>
      </c>
      <c r="Y11" s="95" t="s">
        <v>231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ス</v>
      </c>
      <c r="C12" s="101">
        <f>LOOKUP(C29,$S$2:$T$69,$T$2:$T$69)</f>
        <v>0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99"/>
      <c r="S12" s="94">
        <v>11</v>
      </c>
      <c r="T12" s="95" t="s">
        <v>286</v>
      </c>
      <c r="U12" s="93">
        <f>COUNTIF(C21:O34,"=11")</f>
        <v>0</v>
      </c>
      <c r="V12" s="299"/>
      <c r="W12" s="9"/>
      <c r="X12" s="96" t="s">
        <v>232</v>
      </c>
      <c r="Y12" s="95" t="s">
        <v>233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99"/>
      <c r="S13" s="94">
        <v>12</v>
      </c>
      <c r="T13" s="95" t="s">
        <v>287</v>
      </c>
      <c r="U13" s="93">
        <f>COUNTIF(C21:O34,"=12")</f>
        <v>0</v>
      </c>
      <c r="V13" s="299"/>
      <c r="W13" s="9"/>
      <c r="X13" s="96" t="s">
        <v>234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8">
        <f>LOOKUP(C31,$S$2:$T$69,$T$2:$T$69)</f>
        <v>0</v>
      </c>
      <c r="D14" s="88" t="str">
        <f t="shared" ref="D14:E17" si="8">LOOKUP(D31,$X$2:$Y$43,$Y$2:$Y$43)</f>
        <v>ス</v>
      </c>
      <c r="E14" s="98" t="str">
        <f t="shared" si="8"/>
        <v>ス</v>
      </c>
      <c r="F14" s="88">
        <f>LOOKUP(F31,$S$2:$T$69,$T$2:$T$69)</f>
        <v>0</v>
      </c>
      <c r="G14" s="88" t="str">
        <f t="shared" ref="G14:H17" si="9">LOOKUP(G31,$X$2:$Y$43,$Y$2:$Y$43)</f>
        <v>ス</v>
      </c>
      <c r="H14" s="98" t="str">
        <f t="shared" si="9"/>
        <v>ス</v>
      </c>
      <c r="I14" s="88">
        <f>LOOKUP(I31,$S$2:$T$69,$T$2:$T$69)</f>
        <v>0</v>
      </c>
      <c r="J14" s="88" t="str">
        <f t="shared" ref="J14:K17" si="10">LOOKUP(J31,$X$2:$Y$43,$Y$2:$Y$43)</f>
        <v>ス</v>
      </c>
      <c r="K14" s="98" t="str">
        <f t="shared" si="10"/>
        <v>ス</v>
      </c>
      <c r="L14" s="88">
        <f>LOOKUP(L31,$S$2:$T$69,$T$2:$T$69)</f>
        <v>0</v>
      </c>
      <c r="M14" s="88" t="str">
        <f t="shared" ref="M14:N17" si="11">LOOKUP(M31,$X$2:$Y$43,$Y$2:$Y$43)</f>
        <v>ス</v>
      </c>
      <c r="N14" s="98" t="str">
        <f t="shared" si="11"/>
        <v>ス</v>
      </c>
      <c r="O14" s="88">
        <f>LOOKUP(O31,$S$2:$T$69,$T$2:$T$69)</f>
        <v>0</v>
      </c>
      <c r="P14" s="88" t="str">
        <f>LOOKUP(P31,$X$2:$Y$43,$Y$2:$Y$43)</f>
        <v>ス</v>
      </c>
      <c r="Q14" s="9"/>
      <c r="R14" s="299"/>
      <c r="S14" s="94">
        <v>13</v>
      </c>
      <c r="T14" s="95"/>
      <c r="U14" s="93">
        <f>COUNTIF(C21:O34,"=13")</f>
        <v>0</v>
      </c>
      <c r="V14" s="299"/>
      <c r="W14" s="9"/>
      <c r="X14" s="106"/>
      <c r="Y14" s="95"/>
      <c r="Z14" s="107">
        <f>SUM(Z2:Z13)</f>
        <v>16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99"/>
      <c r="S15" s="94">
        <v>14</v>
      </c>
      <c r="T15" s="95"/>
      <c r="U15" s="93">
        <f>COUNTIF(C21:O34,"=14")</f>
        <v>0</v>
      </c>
      <c r="V15" s="299"/>
      <c r="W15" s="9"/>
      <c r="X15" s="106"/>
      <c r="Y15" s="95"/>
      <c r="Z15" s="82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99"/>
      <c r="S16" s="94">
        <v>15</v>
      </c>
      <c r="T16" s="95"/>
      <c r="U16" s="93">
        <f>COUNTIF(C21:O34,"=15")</f>
        <v>0</v>
      </c>
      <c r="V16" s="29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99"/>
      <c r="S17" s="82"/>
      <c r="T17" s="104" t="s">
        <v>235</v>
      </c>
      <c r="U17" s="105">
        <f>SUM(U11:U16)</f>
        <v>0</v>
      </c>
      <c r="V17" s="29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99"/>
      <c r="S18" s="93"/>
      <c r="T18" s="108" t="s">
        <v>236</v>
      </c>
      <c r="U18" s="107">
        <f>U10+U17</f>
        <v>7</v>
      </c>
      <c r="V18" s="299"/>
      <c r="W18" s="9"/>
      <c r="X18" s="109">
        <v>50</v>
      </c>
      <c r="Y18" s="110" t="s">
        <v>237</v>
      </c>
      <c r="Z18" s="105">
        <f>COUNTIF(C21:P34,"=50")</f>
        <v>12</v>
      </c>
      <c r="AA18" s="9"/>
    </row>
    <row r="19" spans="1:27" ht="15.75" customHeight="1" x14ac:dyDescent="0.2">
      <c r="B19" s="301" t="s">
        <v>238</v>
      </c>
      <c r="C19" s="302"/>
      <c r="D19" s="302"/>
      <c r="E19" s="302"/>
      <c r="F19" s="302"/>
      <c r="G19" s="302"/>
      <c r="H19" s="302"/>
      <c r="I19" s="303"/>
      <c r="J19" s="303"/>
      <c r="K19" s="303"/>
      <c r="L19" s="302"/>
      <c r="M19" s="302"/>
      <c r="N19" s="302"/>
      <c r="O19" s="302"/>
      <c r="P19" s="9"/>
      <c r="R19" s="298" t="s">
        <v>239</v>
      </c>
      <c r="S19" s="87">
        <v>22</v>
      </c>
      <c r="T19" s="91" t="s">
        <v>288</v>
      </c>
      <c r="U19" s="82">
        <f>COUNTIF(C21:O34,"=22")</f>
        <v>1</v>
      </c>
      <c r="V19" s="300" t="s">
        <v>208</v>
      </c>
      <c r="W19" s="9"/>
      <c r="X19" s="111">
        <v>51</v>
      </c>
      <c r="Y19" s="112" t="s">
        <v>241</v>
      </c>
      <c r="Z19" s="107">
        <f>COUNTIF(C21:P34,"=51")</f>
        <v>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99"/>
      <c r="S20" s="94">
        <v>23</v>
      </c>
      <c r="T20" s="95" t="s">
        <v>289</v>
      </c>
      <c r="U20" s="93">
        <f>COUNTIF(C21:O34,"=23")</f>
        <v>2</v>
      </c>
      <c r="V20" s="299"/>
      <c r="W20" s="9"/>
      <c r="X20" s="106"/>
      <c r="Y20" s="95"/>
      <c r="Z20" s="82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3</v>
      </c>
      <c r="M21" s="115">
        <v>50</v>
      </c>
      <c r="N21" s="124">
        <v>100</v>
      </c>
      <c r="O21" s="123">
        <v>100</v>
      </c>
      <c r="P21" s="123">
        <v>100</v>
      </c>
      <c r="Q21" s="9"/>
      <c r="R21" s="299"/>
      <c r="S21" s="94">
        <v>24</v>
      </c>
      <c r="T21" s="95" t="s">
        <v>290</v>
      </c>
      <c r="U21" s="93">
        <f>COUNTIF(C21:O34,"=24")</f>
        <v>1</v>
      </c>
      <c r="V21" s="30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211</v>
      </c>
      <c r="I22" s="117">
        <v>3</v>
      </c>
      <c r="J22" s="118">
        <v>50</v>
      </c>
      <c r="K22" s="116" t="s">
        <v>214</v>
      </c>
      <c r="L22" s="117">
        <v>24</v>
      </c>
      <c r="M22" s="118">
        <v>50</v>
      </c>
      <c r="N22" s="126">
        <v>100</v>
      </c>
      <c r="O22" s="127">
        <v>100</v>
      </c>
      <c r="P22" s="127">
        <v>100</v>
      </c>
      <c r="Q22" s="9"/>
      <c r="R22" s="299"/>
      <c r="S22" s="94">
        <v>25</v>
      </c>
      <c r="T22" s="95" t="s">
        <v>291</v>
      </c>
      <c r="U22" s="93">
        <f>COUNTIF(C21:O34,"=25")</f>
        <v>0</v>
      </c>
      <c r="V22" s="29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214</v>
      </c>
      <c r="F23" s="117">
        <v>23</v>
      </c>
      <c r="G23" s="118">
        <v>50</v>
      </c>
      <c r="H23" s="116" t="s">
        <v>214</v>
      </c>
      <c r="I23" s="117">
        <v>23</v>
      </c>
      <c r="J23" s="118">
        <v>50</v>
      </c>
      <c r="K23" s="116" t="s">
        <v>232</v>
      </c>
      <c r="L23" s="117">
        <v>47</v>
      </c>
      <c r="M23" s="118">
        <v>50</v>
      </c>
      <c r="N23" s="126">
        <v>100</v>
      </c>
      <c r="O23" s="127">
        <v>100</v>
      </c>
      <c r="P23" s="127">
        <v>100</v>
      </c>
      <c r="Q23" s="9"/>
      <c r="R23" s="299"/>
      <c r="S23" s="82"/>
      <c r="T23" s="104" t="s">
        <v>226</v>
      </c>
      <c r="U23" s="105">
        <f>SUM(U19:U22)</f>
        <v>4</v>
      </c>
      <c r="V23" s="299"/>
      <c r="W23" s="9"/>
      <c r="X23" s="2"/>
    </row>
    <row r="24" spans="1:27" ht="14.25" x14ac:dyDescent="0.15">
      <c r="A24" s="99">
        <v>4</v>
      </c>
      <c r="B24" s="116" t="s">
        <v>230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224</v>
      </c>
      <c r="I24" s="117">
        <v>47</v>
      </c>
      <c r="J24" s="119">
        <v>51</v>
      </c>
      <c r="K24" s="116" t="s">
        <v>209</v>
      </c>
      <c r="L24" s="117">
        <v>55</v>
      </c>
      <c r="M24" s="119">
        <v>51</v>
      </c>
      <c r="N24" s="126">
        <v>100</v>
      </c>
      <c r="O24" s="127">
        <v>100</v>
      </c>
      <c r="P24" s="127">
        <v>100</v>
      </c>
      <c r="Q24" s="9"/>
      <c r="R24" s="299"/>
      <c r="S24" s="87">
        <v>27</v>
      </c>
      <c r="T24" s="91" t="s">
        <v>292</v>
      </c>
      <c r="U24" s="82">
        <f>COUNTIF(C21:O34,"=27")</f>
        <v>0</v>
      </c>
      <c r="V24" s="300" t="s">
        <v>229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99"/>
      <c r="S25" s="94">
        <v>28</v>
      </c>
      <c r="T25" s="95" t="s">
        <v>293</v>
      </c>
      <c r="U25" s="93">
        <f>COUNTIF(C21:O34,"=28")</f>
        <v>0</v>
      </c>
      <c r="V25" s="299"/>
      <c r="W25" s="9"/>
      <c r="X25" s="2"/>
    </row>
    <row r="26" spans="1:27" ht="14.25" x14ac:dyDescent="0.15">
      <c r="A26" s="97">
        <v>5</v>
      </c>
      <c r="B26" s="124">
        <v>100</v>
      </c>
      <c r="C26" s="123">
        <v>100</v>
      </c>
      <c r="D26" s="123">
        <v>100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99"/>
      <c r="S26" s="94">
        <v>29</v>
      </c>
      <c r="T26" s="95" t="s">
        <v>294</v>
      </c>
      <c r="U26" s="93">
        <f>COUNTIF(C21:O34,"=29")</f>
        <v>0</v>
      </c>
      <c r="V26" s="299"/>
      <c r="W26" s="9"/>
      <c r="X26" s="2"/>
    </row>
    <row r="27" spans="1:27" ht="15" customHeight="1" x14ac:dyDescent="0.15">
      <c r="A27" s="99">
        <v>6</v>
      </c>
      <c r="B27" s="126">
        <v>100</v>
      </c>
      <c r="C27" s="127">
        <v>100</v>
      </c>
      <c r="D27" s="127">
        <v>100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99"/>
      <c r="S27" s="94">
        <v>30</v>
      </c>
      <c r="T27" s="95"/>
      <c r="U27" s="93">
        <f>COUNTIF(C21:O34,"=30")</f>
        <v>0</v>
      </c>
      <c r="V27" s="300"/>
      <c r="W27" s="121"/>
      <c r="X27" s="2"/>
    </row>
    <row r="28" spans="1:27" ht="14.25" x14ac:dyDescent="0.15">
      <c r="A28" s="99">
        <v>7</v>
      </c>
      <c r="B28" s="126">
        <v>100</v>
      </c>
      <c r="C28" s="127">
        <v>100</v>
      </c>
      <c r="D28" s="127">
        <v>100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99"/>
      <c r="S28" s="94">
        <v>31</v>
      </c>
      <c r="T28" s="95"/>
      <c r="U28" s="93">
        <f>COUNTIF(C21:O34,"=31")</f>
        <v>0</v>
      </c>
      <c r="V28" s="299"/>
      <c r="W28" s="9"/>
      <c r="X28" s="2"/>
    </row>
    <row r="29" spans="1:27" ht="14.25" x14ac:dyDescent="0.15">
      <c r="A29" s="99">
        <v>8</v>
      </c>
      <c r="B29" s="126">
        <v>100</v>
      </c>
      <c r="C29" s="127">
        <v>100</v>
      </c>
      <c r="D29" s="127">
        <v>100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99"/>
      <c r="S29" s="94">
        <v>32</v>
      </c>
      <c r="T29" s="95"/>
      <c r="U29" s="93">
        <f>COUNTIF(C21:O34,"=32")</f>
        <v>0</v>
      </c>
      <c r="V29" s="29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99"/>
      <c r="S30" s="94">
        <v>33</v>
      </c>
      <c r="T30" s="95"/>
      <c r="U30" s="93">
        <f>COUNTIF(C21:O34,"=33")</f>
        <v>0</v>
      </c>
      <c r="V30" s="29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99"/>
      <c r="S31" s="82"/>
      <c r="T31" s="104" t="s">
        <v>235</v>
      </c>
      <c r="U31" s="105">
        <f>SUM(U24:U30)</f>
        <v>0</v>
      </c>
      <c r="V31" s="29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99"/>
      <c r="S32" s="93"/>
      <c r="T32" s="108" t="s">
        <v>248</v>
      </c>
      <c r="U32" s="107">
        <f>U23+U31</f>
        <v>4</v>
      </c>
      <c r="V32" s="29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98" t="s">
        <v>249</v>
      </c>
      <c r="S33" s="128">
        <v>35</v>
      </c>
      <c r="T33" s="91"/>
      <c r="U33" s="91">
        <f>COUNTIF(C21:O34,"=35")</f>
        <v>0</v>
      </c>
      <c r="V33" s="300" t="s">
        <v>250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99"/>
      <c r="S34" s="129">
        <v>36</v>
      </c>
      <c r="T34" s="95"/>
      <c r="U34" s="95">
        <f>COUNTIF(C21:O34,"=36")</f>
        <v>0</v>
      </c>
      <c r="V34" s="29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99"/>
      <c r="S35" s="129">
        <v>37</v>
      </c>
      <c r="T35" s="95"/>
      <c r="U35" s="95">
        <f>COUNTIF(C21:O34,"=37")</f>
        <v>0</v>
      </c>
      <c r="V35" s="299"/>
      <c r="W35" s="9"/>
      <c r="X35" s="2"/>
    </row>
    <row r="36" spans="1:24" ht="14.65" customHeight="1" x14ac:dyDescent="0.15">
      <c r="B36" s="132" t="s">
        <v>251</v>
      </c>
      <c r="I36" s="25"/>
      <c r="J36" s="25"/>
      <c r="K36" s="25"/>
      <c r="R36" s="299"/>
      <c r="S36" s="129">
        <v>38</v>
      </c>
      <c r="T36" s="95"/>
      <c r="U36" s="95">
        <f>COUNTIF(C21:O34,"=38")</f>
        <v>0</v>
      </c>
      <c r="V36" s="299"/>
      <c r="W36" s="9"/>
      <c r="X36" s="2"/>
    </row>
    <row r="37" spans="1:24" ht="15" x14ac:dyDescent="0.15">
      <c r="B37" s="132"/>
      <c r="I37" s="25"/>
      <c r="J37" s="25"/>
      <c r="K37" s="25"/>
      <c r="R37" s="299"/>
      <c r="S37" s="129">
        <v>39</v>
      </c>
      <c r="T37" s="95" t="s">
        <v>252</v>
      </c>
      <c r="U37" s="95">
        <f>COUNTIF(C21:O34,"=39")</f>
        <v>0</v>
      </c>
      <c r="V37" s="299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299"/>
      <c r="S38" s="82"/>
      <c r="T38" s="108" t="s">
        <v>253</v>
      </c>
      <c r="U38" s="105">
        <f>SUM(U33:U37)</f>
        <v>0</v>
      </c>
      <c r="V38" s="299"/>
      <c r="W38" s="9"/>
      <c r="X38" s="2"/>
    </row>
    <row r="39" spans="1:24" ht="14.25" x14ac:dyDescent="0.15">
      <c r="A39" s="305" t="s">
        <v>68</v>
      </c>
      <c r="B39" s="306"/>
      <c r="C39" s="315" t="s">
        <v>90</v>
      </c>
      <c r="D39" s="306"/>
      <c r="E39" s="306"/>
      <c r="F39" s="315" t="s">
        <v>70</v>
      </c>
      <c r="G39" s="306"/>
      <c r="H39" s="306"/>
      <c r="I39" s="315" t="s">
        <v>91</v>
      </c>
      <c r="J39" s="308"/>
      <c r="K39" s="308"/>
      <c r="L39" s="133" t="s">
        <v>254</v>
      </c>
      <c r="M39" s="9"/>
      <c r="R39" s="298" t="s">
        <v>255</v>
      </c>
      <c r="S39" s="128">
        <v>40</v>
      </c>
      <c r="T39" s="91"/>
      <c r="U39" s="91">
        <f>COUNTIF(C21:O34,"=40")</f>
        <v>0</v>
      </c>
      <c r="V39" s="299"/>
      <c r="W39" s="9"/>
      <c r="X39" s="2"/>
    </row>
    <row r="40" spans="1:24" ht="14.25" x14ac:dyDescent="0.15">
      <c r="A40" s="309" t="s">
        <v>71</v>
      </c>
      <c r="B40" s="306"/>
      <c r="C40" s="310" t="s">
        <v>183</v>
      </c>
      <c r="D40" s="311"/>
      <c r="E40" s="311"/>
      <c r="F40" s="310" t="s">
        <v>184</v>
      </c>
      <c r="G40" s="311"/>
      <c r="H40" s="311"/>
      <c r="I40" s="310" t="s">
        <v>136</v>
      </c>
      <c r="J40" s="312"/>
      <c r="K40" s="312"/>
      <c r="L40" s="134" t="s">
        <v>278</v>
      </c>
      <c r="M40" s="9"/>
      <c r="R40" s="299"/>
      <c r="S40" s="129">
        <v>41</v>
      </c>
      <c r="T40" s="95"/>
      <c r="U40" s="95">
        <f>COUNTIF(C21:O34,"=41")</f>
        <v>0</v>
      </c>
      <c r="V40" s="299"/>
      <c r="W40" s="9"/>
      <c r="X40" s="2"/>
    </row>
    <row r="41" spans="1:24" ht="14.25" x14ac:dyDescent="0.15">
      <c r="A41" s="310" t="s">
        <v>74</v>
      </c>
      <c r="B41" s="311"/>
      <c r="C41" s="310" t="s">
        <v>140</v>
      </c>
      <c r="D41" s="311"/>
      <c r="E41" s="311"/>
      <c r="F41" s="310" t="s">
        <v>185</v>
      </c>
      <c r="G41" s="311"/>
      <c r="H41" s="311"/>
      <c r="I41" s="310" t="s">
        <v>130</v>
      </c>
      <c r="J41" s="312"/>
      <c r="K41" s="312"/>
      <c r="L41" s="134" t="s">
        <v>279</v>
      </c>
      <c r="M41" s="9"/>
      <c r="R41" s="299"/>
      <c r="S41" s="129">
        <v>42</v>
      </c>
      <c r="T41" s="95"/>
      <c r="U41" s="95">
        <f>COUNTIF(C21:O34,"=42")</f>
        <v>0</v>
      </c>
      <c r="V41" s="299"/>
      <c r="W41" s="9"/>
      <c r="X41" s="2"/>
    </row>
    <row r="42" spans="1:24" ht="14.25" x14ac:dyDescent="0.15">
      <c r="A42" s="310" t="s">
        <v>77</v>
      </c>
      <c r="B42" s="311"/>
      <c r="C42" s="310" t="s">
        <v>186</v>
      </c>
      <c r="D42" s="311"/>
      <c r="E42" s="311"/>
      <c r="F42" s="310" t="s">
        <v>140</v>
      </c>
      <c r="G42" s="311"/>
      <c r="H42" s="311"/>
      <c r="I42" s="310" t="s">
        <v>116</v>
      </c>
      <c r="J42" s="312"/>
      <c r="K42" s="312"/>
      <c r="L42" s="134" t="s">
        <v>280</v>
      </c>
      <c r="M42" s="9"/>
      <c r="R42" s="299"/>
      <c r="S42" s="129">
        <v>43</v>
      </c>
      <c r="T42" s="95"/>
      <c r="U42" s="95">
        <f>COUNTIF(C21:O34,"=43")</f>
        <v>0</v>
      </c>
      <c r="V42" s="29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99"/>
      <c r="S43" s="129">
        <v>44</v>
      </c>
      <c r="T43" s="95" t="s">
        <v>252</v>
      </c>
      <c r="U43" s="95">
        <f>COUNTIF(C21:O34,"=44")</f>
        <v>0</v>
      </c>
      <c r="V43" s="300"/>
      <c r="W43" s="121"/>
    </row>
    <row r="44" spans="1:24" ht="12.75" x14ac:dyDescent="0.15">
      <c r="R44" s="82"/>
      <c r="S44" s="82"/>
      <c r="T44" s="108" t="s">
        <v>259</v>
      </c>
      <c r="U44" s="105">
        <f>SUM(U39:U43)</f>
        <v>0</v>
      </c>
      <c r="V44" s="89"/>
      <c r="W44" s="121"/>
    </row>
    <row r="45" spans="1:24" ht="12.75" x14ac:dyDescent="0.15">
      <c r="R45" s="300" t="s">
        <v>260</v>
      </c>
      <c r="S45" s="87">
        <v>45</v>
      </c>
      <c r="T45" s="91" t="s">
        <v>261</v>
      </c>
      <c r="U45" s="91">
        <f>COUNTIF(C21:O34,"=45")</f>
        <v>0</v>
      </c>
      <c r="V45" s="300" t="s">
        <v>229</v>
      </c>
      <c r="W45" s="121"/>
    </row>
    <row r="46" spans="1:24" ht="12.75" x14ac:dyDescent="0.15">
      <c r="R46" s="299"/>
      <c r="S46" s="94">
        <v>46</v>
      </c>
      <c r="T46" s="95" t="s">
        <v>262</v>
      </c>
      <c r="U46" s="95">
        <f>COUNTIF(C21:O34,"=46")</f>
        <v>0</v>
      </c>
      <c r="V46" s="299"/>
      <c r="W46" s="9"/>
    </row>
    <row r="47" spans="1:24" ht="12.75" x14ac:dyDescent="0.15">
      <c r="R47" s="299"/>
      <c r="S47" s="94">
        <v>47</v>
      </c>
      <c r="T47" s="95" t="s">
        <v>252</v>
      </c>
      <c r="U47" s="95">
        <f>COUNTIF(C21:O34,"=47")</f>
        <v>3</v>
      </c>
      <c r="V47" s="299"/>
      <c r="W47" s="9"/>
    </row>
    <row r="48" spans="1:24" ht="12.75" x14ac:dyDescent="0.15">
      <c r="R48" s="299"/>
      <c r="S48" s="94">
        <v>48</v>
      </c>
      <c r="T48" s="95"/>
      <c r="U48" s="95">
        <f>COUNTIF(C21:O34,"=48")</f>
        <v>0</v>
      </c>
      <c r="V48" s="299"/>
      <c r="W48" s="9"/>
    </row>
    <row r="49" spans="18:23" ht="12.75" x14ac:dyDescent="0.15">
      <c r="R49" s="299"/>
      <c r="S49" s="94">
        <v>49</v>
      </c>
      <c r="T49" s="135"/>
      <c r="U49" s="135">
        <f>COUNTIF(C21:O34,"=49")</f>
        <v>0</v>
      </c>
      <c r="V49" s="299"/>
      <c r="W49" s="9"/>
    </row>
    <row r="50" spans="18:23" ht="12.75" x14ac:dyDescent="0.15">
      <c r="R50" s="299"/>
      <c r="S50" s="94"/>
      <c r="T50" s="135"/>
      <c r="U50" s="135"/>
      <c r="V50" s="299"/>
      <c r="W50" s="9"/>
    </row>
    <row r="51" spans="18:23" ht="12.75" x14ac:dyDescent="0.15">
      <c r="R51" s="299"/>
      <c r="S51" s="94"/>
      <c r="T51" s="135"/>
      <c r="U51" s="135"/>
      <c r="V51" s="299"/>
      <c r="W51" s="9"/>
    </row>
    <row r="52" spans="18:23" ht="12.75" x14ac:dyDescent="0.15">
      <c r="R52" s="299"/>
      <c r="S52" s="82"/>
      <c r="T52" s="104" t="s">
        <v>263</v>
      </c>
      <c r="U52" s="105">
        <f>SUM(U45:U51)</f>
        <v>3</v>
      </c>
      <c r="V52" s="299"/>
      <c r="W52" s="9"/>
    </row>
    <row r="53" spans="18:23" ht="12.75" x14ac:dyDescent="0.15">
      <c r="R53" s="300" t="s">
        <v>264</v>
      </c>
      <c r="S53" s="87">
        <v>53</v>
      </c>
      <c r="T53" s="91" t="s">
        <v>265</v>
      </c>
      <c r="U53" s="91">
        <f>COUNTIF(C21:O34,"=53")</f>
        <v>1</v>
      </c>
      <c r="V53" s="299"/>
      <c r="W53" s="9"/>
    </row>
    <row r="54" spans="18:23" ht="12.75" x14ac:dyDescent="0.15">
      <c r="R54" s="299"/>
      <c r="S54" s="94">
        <v>54</v>
      </c>
      <c r="T54" s="95"/>
      <c r="U54" s="95">
        <f>COUNTIF(C21:O34,"=54")</f>
        <v>0</v>
      </c>
      <c r="V54" s="299"/>
      <c r="W54" s="9"/>
    </row>
    <row r="55" spans="18:23" ht="12.75" x14ac:dyDescent="0.15">
      <c r="R55" s="299"/>
      <c r="S55" s="94">
        <v>55</v>
      </c>
      <c r="T55" s="95" t="s">
        <v>266</v>
      </c>
      <c r="U55" s="95">
        <f>COUNTIF(C21:O34,"=55")</f>
        <v>1</v>
      </c>
      <c r="V55" s="299"/>
      <c r="W55" s="9"/>
    </row>
    <row r="56" spans="18:23" ht="12.75" x14ac:dyDescent="0.15">
      <c r="R56" s="299"/>
      <c r="S56" s="94">
        <v>56</v>
      </c>
      <c r="T56" s="95"/>
      <c r="U56" s="95">
        <f>COUNTIF(C21:O34,"=56")</f>
        <v>0</v>
      </c>
      <c r="V56" s="299"/>
      <c r="W56" s="9"/>
    </row>
    <row r="57" spans="18:23" ht="12.75" x14ac:dyDescent="0.15">
      <c r="R57" s="299"/>
      <c r="S57" s="94">
        <v>57</v>
      </c>
      <c r="T57" s="135" t="s">
        <v>267</v>
      </c>
      <c r="U57" s="135">
        <f>COUNTIF(C21:O34,"=57")</f>
        <v>0</v>
      </c>
      <c r="V57" s="299"/>
      <c r="W57" s="9"/>
    </row>
    <row r="58" spans="18:23" ht="12.75" x14ac:dyDescent="0.15">
      <c r="R58" s="313"/>
      <c r="S58" s="94">
        <v>58</v>
      </c>
      <c r="T58" s="135" t="s">
        <v>268</v>
      </c>
      <c r="U58" s="135">
        <f>COUNTIF(C21:O34,"=58")</f>
        <v>0</v>
      </c>
      <c r="V58" s="299"/>
      <c r="W58" s="9"/>
    </row>
    <row r="59" spans="18:23" ht="12.75" x14ac:dyDescent="0.15">
      <c r="R59" s="299"/>
      <c r="S59" s="94">
        <v>59</v>
      </c>
      <c r="T59" s="135" t="s">
        <v>269</v>
      </c>
      <c r="U59" s="135">
        <f>COUNTIF(C21:O34,"=59")</f>
        <v>0</v>
      </c>
      <c r="V59" s="299"/>
      <c r="W59" s="9"/>
    </row>
    <row r="60" spans="18:23" ht="12.75" x14ac:dyDescent="0.15">
      <c r="R60" s="299"/>
      <c r="S60" s="94">
        <v>60</v>
      </c>
      <c r="T60" s="135"/>
      <c r="U60" s="135">
        <f>COUNTIF(C21:O34,"=60")</f>
        <v>0</v>
      </c>
      <c r="V60" s="299"/>
      <c r="W60" s="9"/>
    </row>
    <row r="61" spans="18:23" ht="12.75" x14ac:dyDescent="0.15">
      <c r="R61" s="299"/>
      <c r="S61" s="94">
        <v>61</v>
      </c>
      <c r="T61" s="135"/>
      <c r="U61" s="135">
        <f>COUNTIF(C21:O34,"=61")</f>
        <v>0</v>
      </c>
      <c r="V61" s="299"/>
      <c r="W61" s="9"/>
    </row>
    <row r="62" spans="18:23" ht="12.75" x14ac:dyDescent="0.15">
      <c r="R62" s="299"/>
      <c r="S62" s="94">
        <v>62</v>
      </c>
      <c r="T62" s="135"/>
      <c r="U62" s="135">
        <f>COUNTIF(C21:O34,"=62")</f>
        <v>0</v>
      </c>
      <c r="V62" s="299"/>
      <c r="W62" s="9"/>
    </row>
    <row r="63" spans="18:23" ht="12.75" x14ac:dyDescent="0.15">
      <c r="R63" s="299"/>
      <c r="S63" s="94">
        <v>63</v>
      </c>
      <c r="T63" s="95"/>
      <c r="U63" s="95">
        <f>COUNTIF(C21:O34,"=63")</f>
        <v>0</v>
      </c>
      <c r="V63" s="299"/>
      <c r="W63" s="9"/>
    </row>
    <row r="64" spans="18:23" ht="12.75" x14ac:dyDescent="0.15">
      <c r="R64" s="299"/>
      <c r="S64" s="94">
        <v>64</v>
      </c>
      <c r="T64" s="95"/>
      <c r="U64" s="95">
        <f>COUNTIF(C21:O34,"=64")</f>
        <v>0</v>
      </c>
      <c r="V64" s="299"/>
      <c r="W64" s="9"/>
    </row>
    <row r="65" spans="18:23" ht="12.75" x14ac:dyDescent="0.15">
      <c r="R65" s="299"/>
      <c r="S65" s="82"/>
      <c r="T65" s="104" t="s">
        <v>270</v>
      </c>
      <c r="U65" s="105">
        <f>SUM(U53:U64)</f>
        <v>2</v>
      </c>
      <c r="V65" s="299"/>
      <c r="W65" s="9"/>
    </row>
    <row r="66" spans="18:23" ht="12.75" x14ac:dyDescent="0.15">
      <c r="R66" s="299"/>
      <c r="S66" s="82"/>
      <c r="T66" s="95"/>
      <c r="U66" s="93"/>
      <c r="V66" s="299"/>
      <c r="W66" s="9"/>
    </row>
    <row r="67" spans="18:23" ht="12.75" x14ac:dyDescent="0.15">
      <c r="R67" s="82"/>
      <c r="S67" s="93"/>
      <c r="T67" s="136" t="s">
        <v>271</v>
      </c>
      <c r="U67" s="107">
        <f>U18+U32+U38+U44+U52+U65</f>
        <v>16</v>
      </c>
      <c r="V67" s="93"/>
      <c r="W67" s="9"/>
    </row>
    <row r="68" spans="18:23" ht="12.75" x14ac:dyDescent="0.15">
      <c r="R68" s="82"/>
      <c r="S68" s="87"/>
      <c r="T68" s="93"/>
      <c r="U68" s="82"/>
      <c r="V68" s="93"/>
      <c r="W68" s="9"/>
    </row>
    <row r="69" spans="18:23" ht="12.75" x14ac:dyDescent="0.15">
      <c r="R69" s="137" t="s">
        <v>272</v>
      </c>
      <c r="S69" s="138">
        <v>100</v>
      </c>
      <c r="T69" s="82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51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たつや</dc:creator>
  <cp:keywords/>
  <cp:lastModifiedBy>mura7</cp:lastModifiedBy>
  <cp:lastPrinted>2017-10-04T02:58:08Z</cp:lastPrinted>
  <dcterms:modified xsi:type="dcterms:W3CDTF">2017-10-04T02:58:11Z</dcterms:modified>
</cp:coreProperties>
</file>