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M:\『岩倉市日本語・ポルトガル語適応指導教室』\●　ステップ・ユニット・モジュール\"/>
    </mc:Choice>
  </mc:AlternateContent>
  <bookViews>
    <workbookView xWindow="240" yWindow="75" windowWidth="14895" windowHeight="9405" firstSheet="2" activeTab="2"/>
  </bookViews>
  <sheets>
    <sheet name="もと" sheetId="1" r:id="rId1"/>
    <sheet name="配当計画" sheetId="2" r:id="rId2"/>
    <sheet name="一覧表" sheetId="3" r:id="rId3"/>
    <sheet name="小1【S2】" sheetId="4" r:id="rId4"/>
    <sheet name="小1【S3】" sheetId="5" r:id="rId5"/>
    <sheet name="小1【S4】" sheetId="6" r:id="rId6"/>
    <sheet name="小2【S2】" sheetId="7" r:id="rId7"/>
    <sheet name="小2【S3】" sheetId="8" r:id="rId8"/>
    <sheet name="小2【S4】" sheetId="9" r:id="rId9"/>
    <sheet name="小3【S2】" sheetId="10" r:id="rId10"/>
    <sheet name="小3【S3】" sheetId="11" r:id="rId11"/>
    <sheet name="小3【S4】" sheetId="12" r:id="rId12"/>
    <sheet name="小4【S2】" sheetId="13" r:id="rId13"/>
    <sheet name="小4【S3】" sheetId="14" r:id="rId14"/>
    <sheet name="小4【S4】" sheetId="15" r:id="rId15"/>
    <sheet name="小5【S2】" sheetId="16" r:id="rId16"/>
    <sheet name="小5【S3】" sheetId="17" r:id="rId17"/>
    <sheet name="小5【S4】" sheetId="18" r:id="rId18"/>
    <sheet name="小6【S2】" sheetId="19" r:id="rId19"/>
    <sheet name="小6【S3】" sheetId="20" r:id="rId20"/>
    <sheet name="小6【S4】" sheetId="21" r:id="rId21"/>
    <sheet name="中1【S2】" sheetId="22" r:id="rId22"/>
    <sheet name="中1【S3】" sheetId="23" r:id="rId23"/>
    <sheet name="中1【S4】" sheetId="24" r:id="rId24"/>
    <sheet name="中2【S2】" sheetId="25" r:id="rId25"/>
    <sheet name="中2【S3】" sheetId="26" r:id="rId26"/>
    <sheet name="中2【S4】" sheetId="27" r:id="rId27"/>
    <sheet name="中3【S2】" sheetId="28" r:id="rId28"/>
    <sheet name="中3【S3】" sheetId="29" r:id="rId29"/>
    <sheet name="中3【S4】" sheetId="30" r:id="rId30"/>
  </sheets>
  <calcPr calcId="162913"/>
</workbook>
</file>

<file path=xl/calcChain.xml><?xml version="1.0" encoding="utf-8"?>
<calcChain xmlns="http://schemas.openxmlformats.org/spreadsheetml/2006/main">
  <c r="U64" i="30" l="1"/>
  <c r="U63" i="30"/>
  <c r="U62" i="30"/>
  <c r="U61" i="30"/>
  <c r="U60" i="30"/>
  <c r="U59" i="30"/>
  <c r="U58" i="30"/>
  <c r="U57" i="30"/>
  <c r="U56" i="30"/>
  <c r="U55" i="30"/>
  <c r="U54" i="30"/>
  <c r="U53" i="30"/>
  <c r="U65" i="30" s="1"/>
  <c r="U49" i="30"/>
  <c r="U48" i="30"/>
  <c r="U47" i="30"/>
  <c r="U46" i="30"/>
  <c r="U45" i="30"/>
  <c r="U43" i="30"/>
  <c r="U42" i="30"/>
  <c r="U41" i="30"/>
  <c r="U40" i="30"/>
  <c r="U39" i="30"/>
  <c r="U37" i="30"/>
  <c r="U36" i="30"/>
  <c r="U35" i="30"/>
  <c r="U34" i="30"/>
  <c r="U33" i="30"/>
  <c r="U38" i="30" s="1"/>
  <c r="U30" i="30"/>
  <c r="U29" i="30"/>
  <c r="U28" i="30"/>
  <c r="U27" i="30"/>
  <c r="U26" i="30"/>
  <c r="U25" i="30"/>
  <c r="U24" i="30"/>
  <c r="U22" i="30"/>
  <c r="U21" i="30"/>
  <c r="U20" i="30"/>
  <c r="Z19" i="30"/>
  <c r="U19" i="30"/>
  <c r="U23" i="30" s="1"/>
  <c r="Z18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U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U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U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Z13" i="30"/>
  <c r="U13" i="30"/>
  <c r="Z12" i="30"/>
  <c r="U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Z11" i="30"/>
  <c r="U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Z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Z9" i="30"/>
  <c r="U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Z8" i="30"/>
  <c r="U8" i="30"/>
  <c r="Z7" i="30"/>
  <c r="U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Z6" i="30"/>
  <c r="U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Z5" i="30"/>
  <c r="U5" i="30"/>
  <c r="P5" i="30"/>
  <c r="O5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Z4" i="30"/>
  <c r="U4" i="30"/>
  <c r="P4" i="30"/>
  <c r="O4" i="30"/>
  <c r="N4" i="30"/>
  <c r="M4" i="30"/>
  <c r="L4" i="30"/>
  <c r="K4" i="30"/>
  <c r="J4" i="30"/>
  <c r="I4" i="30"/>
  <c r="H4" i="30"/>
  <c r="G4" i="30"/>
  <c r="F4" i="30"/>
  <c r="E4" i="30"/>
  <c r="D4" i="30"/>
  <c r="C4" i="30"/>
  <c r="B4" i="30"/>
  <c r="Z3" i="30"/>
  <c r="U3" i="30"/>
  <c r="Z2" i="30"/>
  <c r="U2" i="30"/>
  <c r="U64" i="29"/>
  <c r="U63" i="29"/>
  <c r="U62" i="29"/>
  <c r="U61" i="29"/>
  <c r="U60" i="29"/>
  <c r="U59" i="29"/>
  <c r="U58" i="29"/>
  <c r="U57" i="29"/>
  <c r="U56" i="29"/>
  <c r="U55" i="29"/>
  <c r="U54" i="29"/>
  <c r="U53" i="29"/>
  <c r="U49" i="29"/>
  <c r="U48" i="29"/>
  <c r="U47" i="29"/>
  <c r="U46" i="29"/>
  <c r="U45" i="29"/>
  <c r="U52" i="29" s="1"/>
  <c r="U43" i="29"/>
  <c r="U42" i="29"/>
  <c r="U41" i="29"/>
  <c r="U40" i="29"/>
  <c r="U39" i="29"/>
  <c r="U37" i="29"/>
  <c r="U36" i="29"/>
  <c r="U35" i="29"/>
  <c r="U34" i="29"/>
  <c r="U33" i="29"/>
  <c r="U30" i="29"/>
  <c r="U29" i="29"/>
  <c r="U28" i="29"/>
  <c r="U27" i="29"/>
  <c r="U26" i="29"/>
  <c r="U25" i="29"/>
  <c r="U24" i="29"/>
  <c r="U22" i="29"/>
  <c r="U21" i="29"/>
  <c r="U20" i="29"/>
  <c r="Z19" i="29"/>
  <c r="U19" i="29"/>
  <c r="Z18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U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U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U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Z13" i="29"/>
  <c r="U13" i="29"/>
  <c r="Z12" i="29"/>
  <c r="U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Z11" i="29"/>
  <c r="U11" i="29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B11" i="29"/>
  <c r="Z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B10" i="29"/>
  <c r="Z9" i="29"/>
  <c r="U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B9" i="29"/>
  <c r="Z8" i="29"/>
  <c r="U8" i="29"/>
  <c r="Z7" i="29"/>
  <c r="U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B7" i="29"/>
  <c r="Z6" i="29"/>
  <c r="U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B6" i="29"/>
  <c r="Z5" i="29"/>
  <c r="U5" i="29"/>
  <c r="P5" i="29"/>
  <c r="O5" i="29"/>
  <c r="N5" i="29"/>
  <c r="M5" i="29"/>
  <c r="L5" i="29"/>
  <c r="K5" i="29"/>
  <c r="J5" i="29"/>
  <c r="I5" i="29"/>
  <c r="H5" i="29"/>
  <c r="G5" i="29"/>
  <c r="F5" i="29"/>
  <c r="E5" i="29"/>
  <c r="D5" i="29"/>
  <c r="C5" i="29"/>
  <c r="B5" i="29"/>
  <c r="Z4" i="29"/>
  <c r="U4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4" i="29"/>
  <c r="Z3" i="29"/>
  <c r="U3" i="29"/>
  <c r="Z2" i="29"/>
  <c r="Z14" i="29" s="1"/>
  <c r="U2" i="29"/>
  <c r="U64" i="28"/>
  <c r="U63" i="28"/>
  <c r="U62" i="28"/>
  <c r="U61" i="28"/>
  <c r="U60" i="28"/>
  <c r="U59" i="28"/>
  <c r="U58" i="28"/>
  <c r="U57" i="28"/>
  <c r="U56" i="28"/>
  <c r="U55" i="28"/>
  <c r="U54" i="28"/>
  <c r="U53" i="28"/>
  <c r="U49" i="28"/>
  <c r="U48" i="28"/>
  <c r="U47" i="28"/>
  <c r="U46" i="28"/>
  <c r="U45" i="28"/>
  <c r="U43" i="28"/>
  <c r="U42" i="28"/>
  <c r="U41" i="28"/>
  <c r="U40" i="28"/>
  <c r="U39" i="28"/>
  <c r="U37" i="28"/>
  <c r="U36" i="28"/>
  <c r="U35" i="28"/>
  <c r="U34" i="28"/>
  <c r="U33" i="28"/>
  <c r="U38" i="28" s="1"/>
  <c r="U30" i="28"/>
  <c r="U29" i="28"/>
  <c r="U28" i="28"/>
  <c r="U27" i="28"/>
  <c r="U26" i="28"/>
  <c r="U25" i="28"/>
  <c r="U24" i="28"/>
  <c r="U22" i="28"/>
  <c r="U21" i="28"/>
  <c r="U20" i="28"/>
  <c r="Z19" i="28"/>
  <c r="U19" i="28"/>
  <c r="Z18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U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U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U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Z13" i="28"/>
  <c r="U13" i="28"/>
  <c r="Z12" i="28"/>
  <c r="U12" i="28"/>
  <c r="U17" i="28" s="1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Z11" i="28"/>
  <c r="U11" i="28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Z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Z9" i="28"/>
  <c r="U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Z8" i="28"/>
  <c r="U8" i="28"/>
  <c r="Z7" i="28"/>
  <c r="U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Z6" i="28"/>
  <c r="U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Z5" i="28"/>
  <c r="U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Z4" i="28"/>
  <c r="U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Z3" i="28"/>
  <c r="U3" i="28"/>
  <c r="Z2" i="28"/>
  <c r="U2" i="28"/>
  <c r="U64" i="27"/>
  <c r="U63" i="27"/>
  <c r="U62" i="27"/>
  <c r="U61" i="27"/>
  <c r="U60" i="27"/>
  <c r="U59" i="27"/>
  <c r="U58" i="27"/>
  <c r="U57" i="27"/>
  <c r="U56" i="27"/>
  <c r="U55" i="27"/>
  <c r="U54" i="27"/>
  <c r="U53" i="27"/>
  <c r="U49" i="27"/>
  <c r="U48" i="27"/>
  <c r="U47" i="27"/>
  <c r="U46" i="27"/>
  <c r="U45" i="27"/>
  <c r="U52" i="27" s="1"/>
  <c r="U43" i="27"/>
  <c r="U42" i="27"/>
  <c r="U41" i="27"/>
  <c r="U40" i="27"/>
  <c r="U39" i="27"/>
  <c r="U37" i="27"/>
  <c r="U36" i="27"/>
  <c r="U35" i="27"/>
  <c r="U34" i="27"/>
  <c r="U33" i="27"/>
  <c r="U30" i="27"/>
  <c r="U29" i="27"/>
  <c r="U28" i="27"/>
  <c r="U27" i="27"/>
  <c r="U26" i="27"/>
  <c r="U25" i="27"/>
  <c r="U31" i="27" s="1"/>
  <c r="U24" i="27"/>
  <c r="U22" i="27"/>
  <c r="U21" i="27"/>
  <c r="U20" i="27"/>
  <c r="Z19" i="27"/>
  <c r="U19" i="27"/>
  <c r="Z18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U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U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U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Z13" i="27"/>
  <c r="U13" i="27"/>
  <c r="Z12" i="27"/>
  <c r="U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Z11" i="27"/>
  <c r="U11" i="27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Z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Z9" i="27"/>
  <c r="U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Z8" i="27"/>
  <c r="U8" i="27"/>
  <c r="Z7" i="27"/>
  <c r="U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Z6" i="27"/>
  <c r="U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Z5" i="27"/>
  <c r="U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Z4" i="27"/>
  <c r="U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Z3" i="27"/>
  <c r="U3" i="27"/>
  <c r="Z2" i="27"/>
  <c r="U2" i="27"/>
  <c r="U64" i="26"/>
  <c r="U63" i="26"/>
  <c r="U62" i="26"/>
  <c r="U61" i="26"/>
  <c r="U60" i="26"/>
  <c r="U59" i="26"/>
  <c r="U58" i="26"/>
  <c r="U57" i="26"/>
  <c r="U56" i="26"/>
  <c r="U55" i="26"/>
  <c r="U54" i="26"/>
  <c r="U53" i="26"/>
  <c r="U49" i="26"/>
  <c r="U48" i="26"/>
  <c r="U47" i="26"/>
  <c r="U46" i="26"/>
  <c r="U45" i="26"/>
  <c r="U43" i="26"/>
  <c r="U42" i="26"/>
  <c r="U41" i="26"/>
  <c r="U40" i="26"/>
  <c r="U39" i="26"/>
  <c r="U37" i="26"/>
  <c r="U36" i="26"/>
  <c r="U35" i="26"/>
  <c r="U34" i="26"/>
  <c r="U33" i="26"/>
  <c r="U38" i="26" s="1"/>
  <c r="U30" i="26"/>
  <c r="U29" i="26"/>
  <c r="U28" i="26"/>
  <c r="U27" i="26"/>
  <c r="U26" i="26"/>
  <c r="U25" i="26"/>
  <c r="U24" i="26"/>
  <c r="U22" i="26"/>
  <c r="U21" i="26"/>
  <c r="U20" i="26"/>
  <c r="Z19" i="26"/>
  <c r="U19" i="26"/>
  <c r="Z18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U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U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U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Z13" i="26"/>
  <c r="U13" i="26"/>
  <c r="Z12" i="26"/>
  <c r="U12" i="26"/>
  <c r="U17" i="26" s="1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Z11" i="26"/>
  <c r="U11" i="26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Z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Z9" i="26"/>
  <c r="U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Z8" i="26"/>
  <c r="U8" i="26"/>
  <c r="Z7" i="26"/>
  <c r="U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Z6" i="26"/>
  <c r="U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Z5" i="26"/>
  <c r="U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Z4" i="26"/>
  <c r="U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Z3" i="26"/>
  <c r="U3" i="26"/>
  <c r="Z2" i="26"/>
  <c r="U2" i="26"/>
  <c r="U64" i="25"/>
  <c r="U63" i="25"/>
  <c r="U62" i="25"/>
  <c r="U61" i="25"/>
  <c r="U60" i="25"/>
  <c r="U59" i="25"/>
  <c r="U58" i="25"/>
  <c r="U57" i="25"/>
  <c r="U56" i="25"/>
  <c r="U55" i="25"/>
  <c r="U54" i="25"/>
  <c r="U53" i="25"/>
  <c r="U49" i="25"/>
  <c r="U48" i="25"/>
  <c r="U47" i="25"/>
  <c r="U46" i="25"/>
  <c r="U45" i="25"/>
  <c r="U52" i="25" s="1"/>
  <c r="U43" i="25"/>
  <c r="U42" i="25"/>
  <c r="U41" i="25"/>
  <c r="U40" i="25"/>
  <c r="U39" i="25"/>
  <c r="U37" i="25"/>
  <c r="U36" i="25"/>
  <c r="U35" i="25"/>
  <c r="U34" i="25"/>
  <c r="U33" i="25"/>
  <c r="U30" i="25"/>
  <c r="U29" i="25"/>
  <c r="U28" i="25"/>
  <c r="U27" i="25"/>
  <c r="U26" i="25"/>
  <c r="U25" i="25"/>
  <c r="U31" i="25" s="1"/>
  <c r="U24" i="25"/>
  <c r="U22" i="25"/>
  <c r="U21" i="25"/>
  <c r="U20" i="25"/>
  <c r="Z19" i="25"/>
  <c r="U19" i="25"/>
  <c r="Z18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U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U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U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Z13" i="25"/>
  <c r="U13" i="25"/>
  <c r="Z12" i="25"/>
  <c r="U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Z11" i="25"/>
  <c r="U11" i="25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Z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Z9" i="25"/>
  <c r="U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Z8" i="25"/>
  <c r="U8" i="25"/>
  <c r="Z7" i="25"/>
  <c r="U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Z6" i="25"/>
  <c r="U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Z5" i="25"/>
  <c r="U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Z4" i="25"/>
  <c r="U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Z3" i="25"/>
  <c r="U3" i="25"/>
  <c r="Z2" i="25"/>
  <c r="U2" i="25"/>
  <c r="U64" i="24"/>
  <c r="U63" i="24"/>
  <c r="U62" i="24"/>
  <c r="U61" i="24"/>
  <c r="U60" i="24"/>
  <c r="U59" i="24"/>
  <c r="U58" i="24"/>
  <c r="U57" i="24"/>
  <c r="U56" i="24"/>
  <c r="U55" i="24"/>
  <c r="U54" i="24"/>
  <c r="U53" i="24"/>
  <c r="U49" i="24"/>
  <c r="U48" i="24"/>
  <c r="U47" i="24"/>
  <c r="U46" i="24"/>
  <c r="U45" i="24"/>
  <c r="U43" i="24"/>
  <c r="U42" i="24"/>
  <c r="U41" i="24"/>
  <c r="U40" i="24"/>
  <c r="U39" i="24"/>
  <c r="U37" i="24"/>
  <c r="U36" i="24"/>
  <c r="U35" i="24"/>
  <c r="U34" i="24"/>
  <c r="U33" i="24"/>
  <c r="U38" i="24" s="1"/>
  <c r="U30" i="24"/>
  <c r="U29" i="24"/>
  <c r="U28" i="24"/>
  <c r="U27" i="24"/>
  <c r="U26" i="24"/>
  <c r="U25" i="24"/>
  <c r="U24" i="24"/>
  <c r="U22" i="24"/>
  <c r="U21" i="24"/>
  <c r="U20" i="24"/>
  <c r="Z19" i="24"/>
  <c r="U19" i="24"/>
  <c r="Z18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U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U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U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Z13" i="24"/>
  <c r="U13" i="24"/>
  <c r="Z12" i="24"/>
  <c r="U12" i="24"/>
  <c r="U17" i="24" s="1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Z11" i="24"/>
  <c r="U11" i="24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Z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Z9" i="24"/>
  <c r="U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Z8" i="24"/>
  <c r="U8" i="24"/>
  <c r="Z7" i="24"/>
  <c r="U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Z6" i="24"/>
  <c r="U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Z5" i="24"/>
  <c r="U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Z4" i="24"/>
  <c r="U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Z3" i="24"/>
  <c r="U3" i="24"/>
  <c r="Z2" i="24"/>
  <c r="U2" i="24"/>
  <c r="U64" i="23"/>
  <c r="U63" i="23"/>
  <c r="U62" i="23"/>
  <c r="U61" i="23"/>
  <c r="U60" i="23"/>
  <c r="U59" i="23"/>
  <c r="U58" i="23"/>
  <c r="U57" i="23"/>
  <c r="U56" i="23"/>
  <c r="U55" i="23"/>
  <c r="U54" i="23"/>
  <c r="U53" i="23"/>
  <c r="U49" i="23"/>
  <c r="U48" i="23"/>
  <c r="U47" i="23"/>
  <c r="U46" i="23"/>
  <c r="U45" i="23"/>
  <c r="U52" i="23" s="1"/>
  <c r="U43" i="23"/>
  <c r="U42" i="23"/>
  <c r="U41" i="23"/>
  <c r="U40" i="23"/>
  <c r="U39" i="23"/>
  <c r="U37" i="23"/>
  <c r="U36" i="23"/>
  <c r="U35" i="23"/>
  <c r="U34" i="23"/>
  <c r="U33" i="23"/>
  <c r="U30" i="23"/>
  <c r="U29" i="23"/>
  <c r="U28" i="23"/>
  <c r="U27" i="23"/>
  <c r="U26" i="23"/>
  <c r="U25" i="23"/>
  <c r="U31" i="23" s="1"/>
  <c r="U24" i="23"/>
  <c r="U22" i="23"/>
  <c r="U21" i="23"/>
  <c r="U20" i="23"/>
  <c r="Z19" i="23"/>
  <c r="U19" i="23"/>
  <c r="Z18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U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U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U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Z13" i="23"/>
  <c r="U13" i="23"/>
  <c r="Z12" i="23"/>
  <c r="U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Z11" i="23"/>
  <c r="U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Z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Z9" i="23"/>
  <c r="U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Z8" i="23"/>
  <c r="U8" i="23"/>
  <c r="Z7" i="23"/>
  <c r="U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Z6" i="23"/>
  <c r="U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Z5" i="23"/>
  <c r="U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Z4" i="23"/>
  <c r="U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Z3" i="23"/>
  <c r="U3" i="23"/>
  <c r="Z2" i="23"/>
  <c r="U2" i="23"/>
  <c r="U64" i="22"/>
  <c r="U63" i="22"/>
  <c r="U62" i="22"/>
  <c r="U61" i="22"/>
  <c r="U60" i="22"/>
  <c r="U59" i="22"/>
  <c r="U58" i="22"/>
  <c r="U57" i="22"/>
  <c r="U56" i="22"/>
  <c r="U55" i="22"/>
  <c r="U54" i="22"/>
  <c r="U53" i="22"/>
  <c r="U49" i="22"/>
  <c r="U48" i="22"/>
  <c r="U47" i="22"/>
  <c r="U46" i="22"/>
  <c r="U45" i="22"/>
  <c r="U43" i="22"/>
  <c r="U42" i="22"/>
  <c r="U41" i="22"/>
  <c r="U40" i="22"/>
  <c r="U39" i="22"/>
  <c r="U37" i="22"/>
  <c r="U36" i="22"/>
  <c r="U35" i="22"/>
  <c r="U34" i="22"/>
  <c r="U33" i="22"/>
  <c r="U38" i="22" s="1"/>
  <c r="U30" i="22"/>
  <c r="U29" i="22"/>
  <c r="U28" i="22"/>
  <c r="U27" i="22"/>
  <c r="U26" i="22"/>
  <c r="U25" i="22"/>
  <c r="U24" i="22"/>
  <c r="U22" i="22"/>
  <c r="U21" i="22"/>
  <c r="U20" i="22"/>
  <c r="Z19" i="22"/>
  <c r="U19" i="22"/>
  <c r="Z18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U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U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U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Z13" i="22"/>
  <c r="U13" i="22"/>
  <c r="Z12" i="22"/>
  <c r="U12" i="22"/>
  <c r="U17" i="22" s="1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Z11" i="22"/>
  <c r="U11" i="22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Z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Z9" i="22"/>
  <c r="U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Z8" i="22"/>
  <c r="U8" i="22"/>
  <c r="Z7" i="22"/>
  <c r="U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Z6" i="22"/>
  <c r="U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Z5" i="22"/>
  <c r="U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Z4" i="22"/>
  <c r="U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Z3" i="22"/>
  <c r="U3" i="22"/>
  <c r="Z2" i="22"/>
  <c r="U2" i="22"/>
  <c r="U64" i="21"/>
  <c r="U63" i="21"/>
  <c r="U62" i="21"/>
  <c r="U61" i="21"/>
  <c r="U60" i="21"/>
  <c r="U59" i="21"/>
  <c r="U58" i="21"/>
  <c r="U57" i="21"/>
  <c r="U56" i="21"/>
  <c r="U55" i="21"/>
  <c r="U54" i="21"/>
  <c r="U53" i="21"/>
  <c r="U49" i="21"/>
  <c r="U48" i="21"/>
  <c r="U47" i="21"/>
  <c r="U46" i="21"/>
  <c r="U45" i="21"/>
  <c r="U52" i="21" s="1"/>
  <c r="U43" i="21"/>
  <c r="U42" i="21"/>
  <c r="U41" i="21"/>
  <c r="U40" i="21"/>
  <c r="U39" i="21"/>
  <c r="U37" i="21"/>
  <c r="U36" i="21"/>
  <c r="U35" i="21"/>
  <c r="U34" i="21"/>
  <c r="U33" i="21"/>
  <c r="U30" i="21"/>
  <c r="U29" i="21"/>
  <c r="U28" i="21"/>
  <c r="U27" i="21"/>
  <c r="U26" i="21"/>
  <c r="U25" i="21"/>
  <c r="U31" i="21" s="1"/>
  <c r="U24" i="21"/>
  <c r="U22" i="21"/>
  <c r="U21" i="21"/>
  <c r="U20" i="21"/>
  <c r="Z19" i="21"/>
  <c r="U19" i="21"/>
  <c r="Z18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U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U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U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Z13" i="21"/>
  <c r="U13" i="21"/>
  <c r="Z12" i="21"/>
  <c r="U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Z11" i="21"/>
  <c r="U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Z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Z9" i="21"/>
  <c r="U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Z8" i="21"/>
  <c r="U8" i="21"/>
  <c r="Z7" i="21"/>
  <c r="U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Z6" i="21"/>
  <c r="U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Z5" i="21"/>
  <c r="U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Z4" i="21"/>
  <c r="U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Z3" i="21"/>
  <c r="U3" i="21"/>
  <c r="Z2" i="21"/>
  <c r="U2" i="21"/>
  <c r="U64" i="20"/>
  <c r="U63" i="20"/>
  <c r="U62" i="20"/>
  <c r="U61" i="20"/>
  <c r="U60" i="20"/>
  <c r="U59" i="20"/>
  <c r="U58" i="20"/>
  <c r="U57" i="20"/>
  <c r="U56" i="20"/>
  <c r="U55" i="20"/>
  <c r="U54" i="20"/>
  <c r="U53" i="20"/>
  <c r="U49" i="20"/>
  <c r="U48" i="20"/>
  <c r="U47" i="20"/>
  <c r="U46" i="20"/>
  <c r="U45" i="20"/>
  <c r="U43" i="20"/>
  <c r="U42" i="20"/>
  <c r="U41" i="20"/>
  <c r="U40" i="20"/>
  <c r="U39" i="20"/>
  <c r="U37" i="20"/>
  <c r="U36" i="20"/>
  <c r="U35" i="20"/>
  <c r="U34" i="20"/>
  <c r="U33" i="20"/>
  <c r="U38" i="20" s="1"/>
  <c r="U30" i="20"/>
  <c r="U29" i="20"/>
  <c r="U28" i="20"/>
  <c r="U27" i="20"/>
  <c r="U26" i="20"/>
  <c r="U25" i="20"/>
  <c r="U24" i="20"/>
  <c r="U22" i="20"/>
  <c r="U21" i="20"/>
  <c r="U20" i="20"/>
  <c r="Z19" i="20"/>
  <c r="U19" i="20"/>
  <c r="Z18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U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U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U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Z13" i="20"/>
  <c r="U13" i="20"/>
  <c r="Z12" i="20"/>
  <c r="U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Z11" i="20"/>
  <c r="U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Z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Z9" i="20"/>
  <c r="U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Z8" i="20"/>
  <c r="U8" i="20"/>
  <c r="Z7" i="20"/>
  <c r="U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Z6" i="20"/>
  <c r="U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Z5" i="20"/>
  <c r="U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Z4" i="20"/>
  <c r="U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Z3" i="20"/>
  <c r="U3" i="20"/>
  <c r="Z2" i="20"/>
  <c r="U2" i="20"/>
  <c r="U64" i="19"/>
  <c r="U63" i="19"/>
  <c r="U62" i="19"/>
  <c r="U61" i="19"/>
  <c r="U60" i="19"/>
  <c r="U59" i="19"/>
  <c r="U58" i="19"/>
  <c r="U57" i="19"/>
  <c r="U56" i="19"/>
  <c r="U55" i="19"/>
  <c r="U54" i="19"/>
  <c r="U53" i="19"/>
  <c r="U49" i="19"/>
  <c r="U48" i="19"/>
  <c r="U47" i="19"/>
  <c r="U46" i="19"/>
  <c r="U45" i="19"/>
  <c r="U43" i="19"/>
  <c r="U42" i="19"/>
  <c r="U41" i="19"/>
  <c r="U40" i="19"/>
  <c r="U39" i="19"/>
  <c r="U44" i="19" s="1"/>
  <c r="U37" i="19"/>
  <c r="U36" i="19"/>
  <c r="U35" i="19"/>
  <c r="U34" i="19"/>
  <c r="U33" i="19"/>
  <c r="U30" i="19"/>
  <c r="U29" i="19"/>
  <c r="U28" i="19"/>
  <c r="U27" i="19"/>
  <c r="U26" i="19"/>
  <c r="U25" i="19"/>
  <c r="U24" i="19"/>
  <c r="U22" i="19"/>
  <c r="U21" i="19"/>
  <c r="U20" i="19"/>
  <c r="Z19" i="19"/>
  <c r="U19" i="19"/>
  <c r="Z18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U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U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U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Z13" i="19"/>
  <c r="U13" i="19"/>
  <c r="Z12" i="19"/>
  <c r="U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Z11" i="19"/>
  <c r="U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Z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Z9" i="19"/>
  <c r="U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Z8" i="19"/>
  <c r="U8" i="19"/>
  <c r="Z7" i="19"/>
  <c r="U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Z6" i="19"/>
  <c r="U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Z5" i="19"/>
  <c r="U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Z4" i="19"/>
  <c r="Z14" i="19" s="1"/>
  <c r="U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Z3" i="19"/>
  <c r="U3" i="19"/>
  <c r="Z2" i="19"/>
  <c r="U2" i="19"/>
  <c r="U10" i="19" s="1"/>
  <c r="U64" i="18"/>
  <c r="U63" i="18"/>
  <c r="U62" i="18"/>
  <c r="U61" i="18"/>
  <c r="U60" i="18"/>
  <c r="U59" i="18"/>
  <c r="U58" i="18"/>
  <c r="U57" i="18"/>
  <c r="U56" i="18"/>
  <c r="U55" i="18"/>
  <c r="U54" i="18"/>
  <c r="U53" i="18"/>
  <c r="U65" i="18" s="1"/>
  <c r="U49" i="18"/>
  <c r="U48" i="18"/>
  <c r="U47" i="18"/>
  <c r="U46" i="18"/>
  <c r="U45" i="18"/>
  <c r="U43" i="18"/>
  <c r="U42" i="18"/>
  <c r="U41" i="18"/>
  <c r="U40" i="18"/>
  <c r="U39" i="18"/>
  <c r="U37" i="18"/>
  <c r="U36" i="18"/>
  <c r="U35" i="18"/>
  <c r="U34" i="18"/>
  <c r="U33" i="18"/>
  <c r="U30" i="18"/>
  <c r="U29" i="18"/>
  <c r="U28" i="18"/>
  <c r="U27" i="18"/>
  <c r="U26" i="18"/>
  <c r="U25" i="18"/>
  <c r="U24" i="18"/>
  <c r="U22" i="18"/>
  <c r="U21" i="18"/>
  <c r="U23" i="18" s="1"/>
  <c r="U20" i="18"/>
  <c r="Z19" i="18"/>
  <c r="U19" i="18"/>
  <c r="Z18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U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U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U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Z13" i="18"/>
  <c r="U13" i="18"/>
  <c r="Z12" i="18"/>
  <c r="U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Z11" i="18"/>
  <c r="U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Z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Z9" i="18"/>
  <c r="U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Z8" i="18"/>
  <c r="U8" i="18"/>
  <c r="Z7" i="18"/>
  <c r="U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Z6" i="18"/>
  <c r="U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Z5" i="18"/>
  <c r="U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4" i="18"/>
  <c r="U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Z3" i="18"/>
  <c r="U3" i="18"/>
  <c r="Z2" i="18"/>
  <c r="U2" i="18"/>
  <c r="U64" i="17"/>
  <c r="U63" i="17"/>
  <c r="U62" i="17"/>
  <c r="U61" i="17"/>
  <c r="U60" i="17"/>
  <c r="U59" i="17"/>
  <c r="U58" i="17"/>
  <c r="U57" i="17"/>
  <c r="U56" i="17"/>
  <c r="U55" i="17"/>
  <c r="U54" i="17"/>
  <c r="U53" i="17"/>
  <c r="U49" i="17"/>
  <c r="U48" i="17"/>
  <c r="U47" i="17"/>
  <c r="U46" i="17"/>
  <c r="U45" i="17"/>
  <c r="U43" i="17"/>
  <c r="U42" i="17"/>
  <c r="U41" i="17"/>
  <c r="U40" i="17"/>
  <c r="U39" i="17"/>
  <c r="U44" i="17" s="1"/>
  <c r="U37" i="17"/>
  <c r="U36" i="17"/>
  <c r="U35" i="17"/>
  <c r="U34" i="17"/>
  <c r="U33" i="17"/>
  <c r="U30" i="17"/>
  <c r="U29" i="17"/>
  <c r="U28" i="17"/>
  <c r="U27" i="17"/>
  <c r="U26" i="17"/>
  <c r="U25" i="17"/>
  <c r="U24" i="17"/>
  <c r="U22" i="17"/>
  <c r="U21" i="17"/>
  <c r="U20" i="17"/>
  <c r="Z19" i="17"/>
  <c r="U19" i="17"/>
  <c r="Z18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U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U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U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Z13" i="17"/>
  <c r="U13" i="17"/>
  <c r="Z12" i="17"/>
  <c r="U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Z11" i="17"/>
  <c r="U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Z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Z9" i="17"/>
  <c r="U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Z8" i="17"/>
  <c r="U8" i="17"/>
  <c r="Z7" i="17"/>
  <c r="U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Z6" i="17"/>
  <c r="U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Z5" i="17"/>
  <c r="U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Z4" i="17"/>
  <c r="Z14" i="17" s="1"/>
  <c r="U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Z3" i="17"/>
  <c r="U3" i="17"/>
  <c r="Z2" i="17"/>
  <c r="U2" i="17"/>
  <c r="U10" i="17" s="1"/>
  <c r="U64" i="16"/>
  <c r="U63" i="16"/>
  <c r="U62" i="16"/>
  <c r="U61" i="16"/>
  <c r="U60" i="16"/>
  <c r="U59" i="16"/>
  <c r="U58" i="16"/>
  <c r="U57" i="16"/>
  <c r="U56" i="16"/>
  <c r="U55" i="16"/>
  <c r="U54" i="16"/>
  <c r="U53" i="16"/>
  <c r="U65" i="16" s="1"/>
  <c r="U49" i="16"/>
  <c r="U48" i="16"/>
  <c r="U47" i="16"/>
  <c r="U46" i="16"/>
  <c r="U45" i="16"/>
  <c r="U43" i="16"/>
  <c r="U42" i="16"/>
  <c r="U41" i="16"/>
  <c r="U40" i="16"/>
  <c r="U39" i="16"/>
  <c r="U37" i="16"/>
  <c r="U36" i="16"/>
  <c r="U35" i="16"/>
  <c r="U34" i="16"/>
  <c r="U33" i="16"/>
  <c r="U30" i="16"/>
  <c r="U29" i="16"/>
  <c r="U28" i="16"/>
  <c r="U27" i="16"/>
  <c r="U26" i="16"/>
  <c r="U25" i="16"/>
  <c r="U24" i="16"/>
  <c r="U22" i="16"/>
  <c r="U21" i="16"/>
  <c r="U23" i="16" s="1"/>
  <c r="U20" i="16"/>
  <c r="Z19" i="16"/>
  <c r="U19" i="16"/>
  <c r="Z18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U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U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U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Z13" i="16"/>
  <c r="U13" i="16"/>
  <c r="Z12" i="16"/>
  <c r="U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Z11" i="16"/>
  <c r="U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Z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Z9" i="16"/>
  <c r="U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Z8" i="16"/>
  <c r="U8" i="16"/>
  <c r="Z7" i="16"/>
  <c r="U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Z6" i="16"/>
  <c r="U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Z5" i="16"/>
  <c r="U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Z4" i="16"/>
  <c r="U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Z3" i="16"/>
  <c r="U3" i="16"/>
  <c r="Z2" i="16"/>
  <c r="U2" i="16"/>
  <c r="U64" i="15"/>
  <c r="U63" i="15"/>
  <c r="U62" i="15"/>
  <c r="U61" i="15"/>
  <c r="U60" i="15"/>
  <c r="U59" i="15"/>
  <c r="U58" i="15"/>
  <c r="U57" i="15"/>
  <c r="U56" i="15"/>
  <c r="U55" i="15"/>
  <c r="U54" i="15"/>
  <c r="U53" i="15"/>
  <c r="U49" i="15"/>
  <c r="U48" i="15"/>
  <c r="U47" i="15"/>
  <c r="U46" i="15"/>
  <c r="U45" i="15"/>
  <c r="U43" i="15"/>
  <c r="U42" i="15"/>
  <c r="U41" i="15"/>
  <c r="U40" i="15"/>
  <c r="U39" i="15"/>
  <c r="U44" i="15" s="1"/>
  <c r="U37" i="15"/>
  <c r="U36" i="15"/>
  <c r="U35" i="15"/>
  <c r="U34" i="15"/>
  <c r="U33" i="15"/>
  <c r="U30" i="15"/>
  <c r="U29" i="15"/>
  <c r="U28" i="15"/>
  <c r="U27" i="15"/>
  <c r="U26" i="15"/>
  <c r="U25" i="15"/>
  <c r="U24" i="15"/>
  <c r="U22" i="15"/>
  <c r="U21" i="15"/>
  <c r="U20" i="15"/>
  <c r="Z19" i="15"/>
  <c r="U19" i="15"/>
  <c r="Z18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U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U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U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Z13" i="15"/>
  <c r="U13" i="15"/>
  <c r="Z12" i="15"/>
  <c r="U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Z11" i="15"/>
  <c r="U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Z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Z9" i="15"/>
  <c r="U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Z8" i="15"/>
  <c r="U8" i="15"/>
  <c r="Z7" i="15"/>
  <c r="U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Z6" i="15"/>
  <c r="U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Z5" i="15"/>
  <c r="U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Z4" i="15"/>
  <c r="Z14" i="15" s="1"/>
  <c r="U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Z3" i="15"/>
  <c r="U3" i="15"/>
  <c r="Z2" i="15"/>
  <c r="U2" i="15"/>
  <c r="U10" i="15" s="1"/>
  <c r="U64" i="14"/>
  <c r="U63" i="14"/>
  <c r="U62" i="14"/>
  <c r="U61" i="14"/>
  <c r="U60" i="14"/>
  <c r="U59" i="14"/>
  <c r="U58" i="14"/>
  <c r="U57" i="14"/>
  <c r="U56" i="14"/>
  <c r="U55" i="14"/>
  <c r="U54" i="14"/>
  <c r="U53" i="14"/>
  <c r="U65" i="14" s="1"/>
  <c r="U49" i="14"/>
  <c r="U48" i="14"/>
  <c r="U47" i="14"/>
  <c r="U46" i="14"/>
  <c r="U45" i="14"/>
  <c r="U43" i="14"/>
  <c r="U42" i="14"/>
  <c r="U41" i="14"/>
  <c r="U40" i="14"/>
  <c r="U39" i="14"/>
  <c r="U37" i="14"/>
  <c r="U36" i="14"/>
  <c r="U35" i="14"/>
  <c r="U34" i="14"/>
  <c r="U33" i="14"/>
  <c r="U30" i="14"/>
  <c r="U29" i="14"/>
  <c r="U28" i="14"/>
  <c r="U27" i="14"/>
  <c r="U26" i="14"/>
  <c r="U25" i="14"/>
  <c r="U24" i="14"/>
  <c r="U22" i="14"/>
  <c r="U21" i="14"/>
  <c r="U23" i="14" s="1"/>
  <c r="U20" i="14"/>
  <c r="Z19" i="14"/>
  <c r="U19" i="14"/>
  <c r="Z18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U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U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U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Z13" i="14"/>
  <c r="U13" i="14"/>
  <c r="Z12" i="14"/>
  <c r="U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Z11" i="14"/>
  <c r="U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Z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Z9" i="14"/>
  <c r="U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Z8" i="14"/>
  <c r="U8" i="14"/>
  <c r="Z7" i="14"/>
  <c r="U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Z6" i="14"/>
  <c r="U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Z5" i="14"/>
  <c r="U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Z4" i="14"/>
  <c r="U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Z3" i="14"/>
  <c r="U3" i="14"/>
  <c r="Z2" i="14"/>
  <c r="U2" i="14"/>
  <c r="U64" i="13"/>
  <c r="U63" i="13"/>
  <c r="U62" i="13"/>
  <c r="U61" i="13"/>
  <c r="U60" i="13"/>
  <c r="U59" i="13"/>
  <c r="U58" i="13"/>
  <c r="U57" i="13"/>
  <c r="U56" i="13"/>
  <c r="U55" i="13"/>
  <c r="U54" i="13"/>
  <c r="U53" i="13"/>
  <c r="U49" i="13"/>
  <c r="U48" i="13"/>
  <c r="U47" i="13"/>
  <c r="U46" i="13"/>
  <c r="U45" i="13"/>
  <c r="U43" i="13"/>
  <c r="U42" i="13"/>
  <c r="U41" i="13"/>
  <c r="U40" i="13"/>
  <c r="U39" i="13"/>
  <c r="U44" i="13" s="1"/>
  <c r="U37" i="13"/>
  <c r="U36" i="13"/>
  <c r="U35" i="13"/>
  <c r="U34" i="13"/>
  <c r="U33" i="13"/>
  <c r="U30" i="13"/>
  <c r="U29" i="13"/>
  <c r="U28" i="13"/>
  <c r="U27" i="13"/>
  <c r="U26" i="13"/>
  <c r="U25" i="13"/>
  <c r="U24" i="13"/>
  <c r="U22" i="13"/>
  <c r="U21" i="13"/>
  <c r="U20" i="13"/>
  <c r="Z19" i="13"/>
  <c r="U19" i="13"/>
  <c r="Z18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U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U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U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Z13" i="13"/>
  <c r="U13" i="13"/>
  <c r="Z12" i="13"/>
  <c r="U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Z11" i="13"/>
  <c r="U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Z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Z9" i="13"/>
  <c r="U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Z8" i="13"/>
  <c r="U8" i="13"/>
  <c r="Z7" i="13"/>
  <c r="U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Z6" i="13"/>
  <c r="U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Z5" i="13"/>
  <c r="U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Z4" i="13"/>
  <c r="Z14" i="13" s="1"/>
  <c r="U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Z3" i="13"/>
  <c r="U3" i="13"/>
  <c r="Z2" i="13"/>
  <c r="U2" i="13"/>
  <c r="U10" i="13" s="1"/>
  <c r="U64" i="12"/>
  <c r="U63" i="12"/>
  <c r="U62" i="12"/>
  <c r="U61" i="12"/>
  <c r="U60" i="12"/>
  <c r="U59" i="12"/>
  <c r="U58" i="12"/>
  <c r="U57" i="12"/>
  <c r="U56" i="12"/>
  <c r="U55" i="12"/>
  <c r="U54" i="12"/>
  <c r="U53" i="12"/>
  <c r="U65" i="12" s="1"/>
  <c r="U49" i="12"/>
  <c r="U48" i="12"/>
  <c r="U47" i="12"/>
  <c r="U46" i="12"/>
  <c r="U45" i="12"/>
  <c r="U43" i="12"/>
  <c r="U42" i="12"/>
  <c r="U41" i="12"/>
  <c r="U40" i="12"/>
  <c r="U39" i="12"/>
  <c r="U37" i="12"/>
  <c r="U36" i="12"/>
  <c r="U35" i="12"/>
  <c r="U34" i="12"/>
  <c r="U33" i="12"/>
  <c r="U30" i="12"/>
  <c r="U29" i="12"/>
  <c r="U28" i="12"/>
  <c r="U27" i="12"/>
  <c r="U26" i="12"/>
  <c r="U25" i="12"/>
  <c r="U24" i="12"/>
  <c r="U22" i="12"/>
  <c r="U21" i="12"/>
  <c r="U23" i="12" s="1"/>
  <c r="U20" i="12"/>
  <c r="Z19" i="12"/>
  <c r="U19" i="12"/>
  <c r="Z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U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U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U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Z13" i="12"/>
  <c r="U13" i="12"/>
  <c r="Z12" i="12"/>
  <c r="U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Z11" i="12"/>
  <c r="U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Z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Z9" i="12"/>
  <c r="U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Z8" i="12"/>
  <c r="U8" i="12"/>
  <c r="Z7" i="12"/>
  <c r="U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Z6" i="12"/>
  <c r="U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Z5" i="12"/>
  <c r="U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Z4" i="12"/>
  <c r="U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Z3" i="12"/>
  <c r="U3" i="12"/>
  <c r="Z2" i="12"/>
  <c r="U2" i="12"/>
  <c r="U64" i="11"/>
  <c r="U63" i="11"/>
  <c r="U62" i="11"/>
  <c r="U61" i="11"/>
  <c r="U60" i="11"/>
  <c r="U59" i="11"/>
  <c r="U58" i="11"/>
  <c r="U57" i="11"/>
  <c r="U56" i="11"/>
  <c r="U55" i="11"/>
  <c r="U54" i="11"/>
  <c r="U53" i="11"/>
  <c r="U49" i="11"/>
  <c r="U48" i="11"/>
  <c r="U47" i="11"/>
  <c r="U46" i="11"/>
  <c r="U45" i="11"/>
  <c r="U43" i="11"/>
  <c r="U42" i="11"/>
  <c r="U41" i="11"/>
  <c r="U40" i="11"/>
  <c r="U39" i="11"/>
  <c r="U44" i="11" s="1"/>
  <c r="U37" i="11"/>
  <c r="U36" i="11"/>
  <c r="U35" i="11"/>
  <c r="U34" i="11"/>
  <c r="U33" i="11"/>
  <c r="U30" i="11"/>
  <c r="U29" i="11"/>
  <c r="U28" i="11"/>
  <c r="U27" i="11"/>
  <c r="U26" i="11"/>
  <c r="U25" i="11"/>
  <c r="U24" i="11"/>
  <c r="U22" i="11"/>
  <c r="U21" i="11"/>
  <c r="U20" i="11"/>
  <c r="Z19" i="11"/>
  <c r="U19" i="11"/>
  <c r="Z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U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U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U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Z13" i="11"/>
  <c r="U13" i="11"/>
  <c r="Z12" i="11"/>
  <c r="U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Z11" i="11"/>
  <c r="U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Z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Z9" i="11"/>
  <c r="U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Z8" i="11"/>
  <c r="U8" i="11"/>
  <c r="Z7" i="11"/>
  <c r="U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Z6" i="11"/>
  <c r="U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Z5" i="11"/>
  <c r="U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Z4" i="11"/>
  <c r="Z14" i="11" s="1"/>
  <c r="U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Z3" i="11"/>
  <c r="U3" i="11"/>
  <c r="Z2" i="11"/>
  <c r="U2" i="11"/>
  <c r="U10" i="11" s="1"/>
  <c r="U64" i="10"/>
  <c r="U63" i="10"/>
  <c r="U62" i="10"/>
  <c r="U61" i="10"/>
  <c r="U60" i="10"/>
  <c r="U59" i="10"/>
  <c r="U58" i="10"/>
  <c r="U57" i="10"/>
  <c r="U56" i="10"/>
  <c r="U55" i="10"/>
  <c r="U54" i="10"/>
  <c r="U53" i="10"/>
  <c r="U65" i="10" s="1"/>
  <c r="U49" i="10"/>
  <c r="U48" i="10"/>
  <c r="U47" i="10"/>
  <c r="U46" i="10"/>
  <c r="U45" i="10"/>
  <c r="U43" i="10"/>
  <c r="U42" i="10"/>
  <c r="U41" i="10"/>
  <c r="U40" i="10"/>
  <c r="U39" i="10"/>
  <c r="U37" i="10"/>
  <c r="U36" i="10"/>
  <c r="U35" i="10"/>
  <c r="U34" i="10"/>
  <c r="U33" i="10"/>
  <c r="U30" i="10"/>
  <c r="U29" i="10"/>
  <c r="U28" i="10"/>
  <c r="U27" i="10"/>
  <c r="U26" i="10"/>
  <c r="U25" i="10"/>
  <c r="U24" i="10"/>
  <c r="U22" i="10"/>
  <c r="U21" i="10"/>
  <c r="U23" i="10" s="1"/>
  <c r="U20" i="10"/>
  <c r="Z19" i="10"/>
  <c r="U19" i="10"/>
  <c r="Z18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U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U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U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Z13" i="10"/>
  <c r="U13" i="10"/>
  <c r="Z12" i="10"/>
  <c r="U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Z11" i="10"/>
  <c r="U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Z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Z9" i="10"/>
  <c r="U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Z8" i="10"/>
  <c r="U8" i="10"/>
  <c r="Z7" i="10"/>
  <c r="U7" i="10"/>
  <c r="P7" i="10"/>
  <c r="O7" i="10"/>
  <c r="N7" i="10"/>
  <c r="M7" i="10"/>
  <c r="M102" i="3" s="1"/>
  <c r="L7" i="10"/>
  <c r="K7" i="10"/>
  <c r="J7" i="10"/>
  <c r="I7" i="10"/>
  <c r="I102" i="3" s="1"/>
  <c r="H7" i="10"/>
  <c r="G7" i="10"/>
  <c r="F7" i="10"/>
  <c r="E7" i="10"/>
  <c r="E102" i="3" s="1"/>
  <c r="D7" i="10"/>
  <c r="C7" i="10"/>
  <c r="B7" i="10"/>
  <c r="Z6" i="10"/>
  <c r="U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Z5" i="10"/>
  <c r="U5" i="10"/>
  <c r="P5" i="10"/>
  <c r="O5" i="10"/>
  <c r="O100" i="3" s="1"/>
  <c r="N5" i="10"/>
  <c r="M5" i="10"/>
  <c r="L5" i="10"/>
  <c r="K5" i="10"/>
  <c r="K100" i="3" s="1"/>
  <c r="J5" i="10"/>
  <c r="I5" i="10"/>
  <c r="H5" i="10"/>
  <c r="G5" i="10"/>
  <c r="G100" i="3" s="1"/>
  <c r="F5" i="10"/>
  <c r="E5" i="10"/>
  <c r="D5" i="10"/>
  <c r="C5" i="10"/>
  <c r="C100" i="3" s="1"/>
  <c r="B5" i="10"/>
  <c r="Z4" i="10"/>
  <c r="U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Z3" i="10"/>
  <c r="U3" i="10"/>
  <c r="Z2" i="10"/>
  <c r="U2" i="10"/>
  <c r="U64" i="9"/>
  <c r="U63" i="9"/>
  <c r="U62" i="9"/>
  <c r="U61" i="9"/>
  <c r="U60" i="9"/>
  <c r="U59" i="9"/>
  <c r="U58" i="9"/>
  <c r="U57" i="9"/>
  <c r="U56" i="9"/>
  <c r="U55" i="9"/>
  <c r="U54" i="9"/>
  <c r="U53" i="9"/>
  <c r="U49" i="9"/>
  <c r="U48" i="9"/>
  <c r="U47" i="9"/>
  <c r="U46" i="9"/>
  <c r="U45" i="9"/>
  <c r="U43" i="9"/>
  <c r="U42" i="9"/>
  <c r="U41" i="9"/>
  <c r="U40" i="9"/>
  <c r="U39" i="9"/>
  <c r="U44" i="9" s="1"/>
  <c r="U37" i="9"/>
  <c r="U36" i="9"/>
  <c r="U35" i="9"/>
  <c r="U34" i="9"/>
  <c r="U33" i="9"/>
  <c r="U30" i="9"/>
  <c r="U29" i="9"/>
  <c r="U28" i="9"/>
  <c r="U27" i="9"/>
  <c r="U26" i="9"/>
  <c r="U25" i="9"/>
  <c r="U24" i="9"/>
  <c r="U22" i="9"/>
  <c r="U21" i="9"/>
  <c r="U20" i="9"/>
  <c r="Z19" i="9"/>
  <c r="U19" i="9"/>
  <c r="Z18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U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U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U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Z13" i="9"/>
  <c r="U13" i="9"/>
  <c r="Z12" i="9"/>
  <c r="U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Z11" i="9"/>
  <c r="U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R93" i="3" s="1"/>
  <c r="B11" i="9"/>
  <c r="Z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Z9" i="9"/>
  <c r="U9" i="9"/>
  <c r="P9" i="9"/>
  <c r="O9" i="9"/>
  <c r="N9" i="9"/>
  <c r="M9" i="9"/>
  <c r="L9" i="9"/>
  <c r="K9" i="9"/>
  <c r="J9" i="9"/>
  <c r="I9" i="9"/>
  <c r="H9" i="9"/>
  <c r="G9" i="9"/>
  <c r="F9" i="9"/>
  <c r="E9" i="9"/>
  <c r="D9" i="9"/>
  <c r="S91" i="3" s="1"/>
  <c r="C9" i="9"/>
  <c r="B9" i="9"/>
  <c r="Z8" i="9"/>
  <c r="U8" i="9"/>
  <c r="Z7" i="9"/>
  <c r="U7" i="9"/>
  <c r="P7" i="9"/>
  <c r="O7" i="9"/>
  <c r="O94" i="3" s="1"/>
  <c r="N7" i="9"/>
  <c r="M7" i="9"/>
  <c r="L7" i="9"/>
  <c r="K7" i="9"/>
  <c r="K94" i="3" s="1"/>
  <c r="J7" i="9"/>
  <c r="I7" i="9"/>
  <c r="H7" i="9"/>
  <c r="G7" i="9"/>
  <c r="G94" i="3" s="1"/>
  <c r="F7" i="9"/>
  <c r="E7" i="9"/>
  <c r="D7" i="9"/>
  <c r="C7" i="9"/>
  <c r="C94" i="3" s="1"/>
  <c r="B7" i="9"/>
  <c r="Z6" i="9"/>
  <c r="U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Z5" i="9"/>
  <c r="U5" i="9"/>
  <c r="P5" i="9"/>
  <c r="O5" i="9"/>
  <c r="N5" i="9"/>
  <c r="M5" i="9"/>
  <c r="M92" i="3" s="1"/>
  <c r="L5" i="9"/>
  <c r="K5" i="9"/>
  <c r="J5" i="9"/>
  <c r="I5" i="9"/>
  <c r="I92" i="3" s="1"/>
  <c r="H5" i="9"/>
  <c r="G5" i="9"/>
  <c r="F5" i="9"/>
  <c r="E5" i="9"/>
  <c r="E92" i="3" s="1"/>
  <c r="D5" i="9"/>
  <c r="C5" i="9"/>
  <c r="B5" i="9"/>
  <c r="Z4" i="9"/>
  <c r="Z14" i="9" s="1"/>
  <c r="U4" i="9"/>
  <c r="P4" i="9"/>
  <c r="O4" i="9"/>
  <c r="N4" i="9"/>
  <c r="N91" i="3" s="1"/>
  <c r="M4" i="9"/>
  <c r="L4" i="9"/>
  <c r="K4" i="9"/>
  <c r="J4" i="9"/>
  <c r="J91" i="3" s="1"/>
  <c r="I4" i="9"/>
  <c r="H4" i="9"/>
  <c r="G4" i="9"/>
  <c r="F4" i="9"/>
  <c r="F91" i="3" s="1"/>
  <c r="E4" i="9"/>
  <c r="D4" i="9"/>
  <c r="C4" i="9"/>
  <c r="B4" i="9"/>
  <c r="B91" i="3" s="1"/>
  <c r="Z3" i="9"/>
  <c r="U3" i="9"/>
  <c r="Z2" i="9"/>
  <c r="U2" i="9"/>
  <c r="U10" i="9" s="1"/>
  <c r="U64" i="8"/>
  <c r="U63" i="8"/>
  <c r="U62" i="8"/>
  <c r="U61" i="8"/>
  <c r="U60" i="8"/>
  <c r="U59" i="8"/>
  <c r="U58" i="8"/>
  <c r="U57" i="8"/>
  <c r="U56" i="8"/>
  <c r="U55" i="8"/>
  <c r="U54" i="8"/>
  <c r="U53" i="8"/>
  <c r="U65" i="8" s="1"/>
  <c r="U49" i="8"/>
  <c r="U48" i="8"/>
  <c r="U47" i="8"/>
  <c r="U46" i="8"/>
  <c r="U45" i="8"/>
  <c r="U43" i="8"/>
  <c r="U42" i="8"/>
  <c r="U41" i="8"/>
  <c r="U40" i="8"/>
  <c r="U39" i="8"/>
  <c r="U37" i="8"/>
  <c r="U36" i="8"/>
  <c r="U35" i="8"/>
  <c r="U34" i="8"/>
  <c r="U33" i="8"/>
  <c r="U30" i="8"/>
  <c r="U29" i="8"/>
  <c r="U28" i="8"/>
  <c r="U27" i="8"/>
  <c r="U26" i="8"/>
  <c r="U25" i="8"/>
  <c r="U24" i="8"/>
  <c r="U22" i="8"/>
  <c r="U21" i="8"/>
  <c r="U23" i="8" s="1"/>
  <c r="U20" i="8"/>
  <c r="Z19" i="8"/>
  <c r="U19" i="8"/>
  <c r="Z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U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U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U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Z13" i="8"/>
  <c r="U13" i="8"/>
  <c r="Z12" i="8"/>
  <c r="U12" i="8"/>
  <c r="P12" i="8"/>
  <c r="O12" i="8"/>
  <c r="N12" i="8"/>
  <c r="M12" i="8"/>
  <c r="J87" i="3" s="1"/>
  <c r="L12" i="8"/>
  <c r="I87" i="3" s="1"/>
  <c r="K12" i="8"/>
  <c r="J12" i="8"/>
  <c r="I12" i="8"/>
  <c r="F87" i="3" s="1"/>
  <c r="H12" i="8"/>
  <c r="G12" i="8"/>
  <c r="F12" i="8"/>
  <c r="E12" i="8"/>
  <c r="B87" i="3" s="1"/>
  <c r="D12" i="8"/>
  <c r="S82" i="3" s="1"/>
  <c r="C12" i="8"/>
  <c r="B12" i="8"/>
  <c r="Z11" i="8"/>
  <c r="U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Q81" i="3" s="1"/>
  <c r="Z10" i="8"/>
  <c r="P10" i="8"/>
  <c r="O10" i="8"/>
  <c r="N10" i="8"/>
  <c r="M10" i="8"/>
  <c r="J85" i="3" s="1"/>
  <c r="L10" i="8"/>
  <c r="K10" i="8"/>
  <c r="J10" i="8"/>
  <c r="I10" i="8"/>
  <c r="F85" i="3" s="1"/>
  <c r="H10" i="8"/>
  <c r="G10" i="8"/>
  <c r="F10" i="8"/>
  <c r="E10" i="8"/>
  <c r="B85" i="3" s="1"/>
  <c r="D10" i="8"/>
  <c r="C10" i="8"/>
  <c r="B10" i="8"/>
  <c r="Q80" i="3" s="1"/>
  <c r="Z9" i="8"/>
  <c r="U9" i="8"/>
  <c r="P9" i="8"/>
  <c r="O9" i="8"/>
  <c r="N9" i="8"/>
  <c r="M9" i="8"/>
  <c r="L9" i="8"/>
  <c r="K9" i="8"/>
  <c r="H84" i="3" s="1"/>
  <c r="J9" i="8"/>
  <c r="I9" i="8"/>
  <c r="H9" i="8"/>
  <c r="G9" i="8"/>
  <c r="D84" i="3" s="1"/>
  <c r="F9" i="8"/>
  <c r="C84" i="3" s="1"/>
  <c r="E9" i="8"/>
  <c r="D9" i="8"/>
  <c r="C9" i="8"/>
  <c r="R79" i="3" s="1"/>
  <c r="B9" i="8"/>
  <c r="Q79" i="3" s="1"/>
  <c r="Z8" i="8"/>
  <c r="U8" i="8"/>
  <c r="Z7" i="8"/>
  <c r="U7" i="8"/>
  <c r="P7" i="8"/>
  <c r="O7" i="8"/>
  <c r="N7" i="8"/>
  <c r="N82" i="3" s="1"/>
  <c r="M7" i="8"/>
  <c r="M82" i="3" s="1"/>
  <c r="L7" i="8"/>
  <c r="K7" i="8"/>
  <c r="J7" i="8"/>
  <c r="J82" i="3" s="1"/>
  <c r="I7" i="8"/>
  <c r="I82" i="3" s="1"/>
  <c r="H7" i="8"/>
  <c r="G7" i="8"/>
  <c r="F7" i="8"/>
  <c r="F82" i="3" s="1"/>
  <c r="E7" i="8"/>
  <c r="E82" i="3" s="1"/>
  <c r="D7" i="8"/>
  <c r="C7" i="8"/>
  <c r="B7" i="8"/>
  <c r="B82" i="3" s="1"/>
  <c r="Z6" i="8"/>
  <c r="U6" i="8"/>
  <c r="P6" i="8"/>
  <c r="O6" i="8"/>
  <c r="N6" i="8"/>
  <c r="N81" i="3" s="1"/>
  <c r="M6" i="8"/>
  <c r="L6" i="8"/>
  <c r="K6" i="8"/>
  <c r="J6" i="8"/>
  <c r="J81" i="3" s="1"/>
  <c r="I6" i="8"/>
  <c r="H6" i="8"/>
  <c r="G6" i="8"/>
  <c r="G81" i="3" s="1"/>
  <c r="F6" i="8"/>
  <c r="F81" i="3" s="1"/>
  <c r="E6" i="8"/>
  <c r="D6" i="8"/>
  <c r="C6" i="8"/>
  <c r="B6" i="8"/>
  <c r="B81" i="3" s="1"/>
  <c r="Z5" i="8"/>
  <c r="U5" i="8"/>
  <c r="P5" i="8"/>
  <c r="O5" i="8"/>
  <c r="O80" i="3" s="1"/>
  <c r="N5" i="8"/>
  <c r="M5" i="8"/>
  <c r="L5" i="8"/>
  <c r="K5" i="8"/>
  <c r="K80" i="3" s="1"/>
  <c r="J5" i="8"/>
  <c r="I5" i="8"/>
  <c r="H5" i="8"/>
  <c r="G5" i="8"/>
  <c r="G80" i="3" s="1"/>
  <c r="F5" i="8"/>
  <c r="E5" i="8"/>
  <c r="D5" i="8"/>
  <c r="C5" i="8"/>
  <c r="C80" i="3" s="1"/>
  <c r="B5" i="8"/>
  <c r="Z4" i="8"/>
  <c r="U4" i="8"/>
  <c r="P4" i="8"/>
  <c r="P79" i="3" s="1"/>
  <c r="O4" i="8"/>
  <c r="N4" i="8"/>
  <c r="M4" i="8"/>
  <c r="M79" i="3" s="1"/>
  <c r="L4" i="8"/>
  <c r="L79" i="3" s="1"/>
  <c r="K4" i="8"/>
  <c r="J4" i="8"/>
  <c r="I4" i="8"/>
  <c r="H4" i="8"/>
  <c r="H79" i="3" s="1"/>
  <c r="G4" i="8"/>
  <c r="F4" i="8"/>
  <c r="E4" i="8"/>
  <c r="D4" i="8"/>
  <c r="D79" i="3" s="1"/>
  <c r="C4" i="8"/>
  <c r="B4" i="8"/>
  <c r="Z3" i="8"/>
  <c r="U3" i="8"/>
  <c r="Z2" i="8"/>
  <c r="U2" i="8"/>
  <c r="U64" i="7"/>
  <c r="U63" i="7"/>
  <c r="U62" i="7"/>
  <c r="U61" i="7"/>
  <c r="U60" i="7"/>
  <c r="U59" i="7"/>
  <c r="U58" i="7"/>
  <c r="U57" i="7"/>
  <c r="U56" i="7"/>
  <c r="U55" i="7"/>
  <c r="U54" i="7"/>
  <c r="U53" i="7"/>
  <c r="U49" i="7"/>
  <c r="U48" i="7"/>
  <c r="U47" i="7"/>
  <c r="U46" i="7"/>
  <c r="U45" i="7"/>
  <c r="U43" i="7"/>
  <c r="U42" i="7"/>
  <c r="U41" i="7"/>
  <c r="U40" i="7"/>
  <c r="U39" i="7"/>
  <c r="U44" i="7" s="1"/>
  <c r="U37" i="7"/>
  <c r="U36" i="7"/>
  <c r="U35" i="7"/>
  <c r="U34" i="7"/>
  <c r="U33" i="7"/>
  <c r="U30" i="7"/>
  <c r="U29" i="7"/>
  <c r="U28" i="7"/>
  <c r="U27" i="7"/>
  <c r="U26" i="7"/>
  <c r="U25" i="7"/>
  <c r="U24" i="7"/>
  <c r="U22" i="7"/>
  <c r="U21" i="7"/>
  <c r="U20" i="7"/>
  <c r="Z19" i="7"/>
  <c r="U19" i="7"/>
  <c r="Z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P75" i="3" s="1"/>
  <c r="C17" i="7"/>
  <c r="O75" i="3" s="1"/>
  <c r="B17" i="7"/>
  <c r="U16" i="7"/>
  <c r="P16" i="7"/>
  <c r="O16" i="7"/>
  <c r="N16" i="7"/>
  <c r="M16" i="7"/>
  <c r="L16" i="7"/>
  <c r="K16" i="7"/>
  <c r="J16" i="7"/>
  <c r="I16" i="7"/>
  <c r="H16" i="7"/>
  <c r="G16" i="7"/>
  <c r="S74" i="3" s="1"/>
  <c r="F16" i="7"/>
  <c r="E16" i="7"/>
  <c r="D16" i="7"/>
  <c r="P74" i="3" s="1"/>
  <c r="C16" i="7"/>
  <c r="O74" i="3" s="1"/>
  <c r="B16" i="7"/>
  <c r="U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U14" i="7"/>
  <c r="P14" i="7"/>
  <c r="O14" i="7"/>
  <c r="N14" i="7"/>
  <c r="M14" i="7"/>
  <c r="L14" i="7"/>
  <c r="K14" i="7"/>
  <c r="J14" i="7"/>
  <c r="I14" i="7"/>
  <c r="H14" i="7"/>
  <c r="G14" i="7"/>
  <c r="S72" i="3" s="1"/>
  <c r="F14" i="7"/>
  <c r="E14" i="7"/>
  <c r="D14" i="7"/>
  <c r="P72" i="3" s="1"/>
  <c r="C14" i="7"/>
  <c r="O72" i="3" s="1"/>
  <c r="B14" i="7"/>
  <c r="Z13" i="7"/>
  <c r="U13" i="7"/>
  <c r="Z12" i="7"/>
  <c r="U12" i="7"/>
  <c r="P12" i="7"/>
  <c r="O12" i="7"/>
  <c r="L75" i="3" s="1"/>
  <c r="N12" i="7"/>
  <c r="K75" i="3" s="1"/>
  <c r="M12" i="7"/>
  <c r="L12" i="7"/>
  <c r="K12" i="7"/>
  <c r="H75" i="3" s="1"/>
  <c r="J12" i="7"/>
  <c r="G75" i="3" s="1"/>
  <c r="I12" i="7"/>
  <c r="H12" i="7"/>
  <c r="G12" i="7"/>
  <c r="D75" i="3" s="1"/>
  <c r="F12" i="7"/>
  <c r="E12" i="7"/>
  <c r="D12" i="7"/>
  <c r="C12" i="7"/>
  <c r="B12" i="7"/>
  <c r="Z11" i="7"/>
  <c r="U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S69" i="3" s="1"/>
  <c r="C11" i="7"/>
  <c r="R69" i="3" s="1"/>
  <c r="B11" i="7"/>
  <c r="Z10" i="7"/>
  <c r="P10" i="7"/>
  <c r="M73" i="3" s="1"/>
  <c r="O10" i="7"/>
  <c r="L73" i="3" s="1"/>
  <c r="N10" i="7"/>
  <c r="M10" i="7"/>
  <c r="L10" i="7"/>
  <c r="I73" i="3" s="1"/>
  <c r="K10" i="7"/>
  <c r="H73" i="3" s="1"/>
  <c r="J10" i="7"/>
  <c r="I10" i="7"/>
  <c r="H10" i="7"/>
  <c r="E73" i="3" s="1"/>
  <c r="G10" i="7"/>
  <c r="D73" i="3" s="1"/>
  <c r="F10" i="7"/>
  <c r="E10" i="7"/>
  <c r="D10" i="7"/>
  <c r="C10" i="7"/>
  <c r="R68" i="3" s="1"/>
  <c r="B10" i="7"/>
  <c r="Z9" i="7"/>
  <c r="U9" i="7"/>
  <c r="P9" i="7"/>
  <c r="M72" i="3" s="1"/>
  <c r="O9" i="7"/>
  <c r="N9" i="7"/>
  <c r="M9" i="7"/>
  <c r="L9" i="7"/>
  <c r="I72" i="3" s="1"/>
  <c r="K9" i="7"/>
  <c r="J9" i="7"/>
  <c r="I9" i="7"/>
  <c r="H9" i="7"/>
  <c r="E72" i="3" s="1"/>
  <c r="G9" i="7"/>
  <c r="F9" i="7"/>
  <c r="E9" i="7"/>
  <c r="D9" i="7"/>
  <c r="S67" i="3" s="1"/>
  <c r="C9" i="7"/>
  <c r="B9" i="7"/>
  <c r="Z8" i="7"/>
  <c r="U8" i="7"/>
  <c r="Z7" i="7"/>
  <c r="U7" i="7"/>
  <c r="P7" i="7"/>
  <c r="P70" i="3" s="1"/>
  <c r="O7" i="7"/>
  <c r="O70" i="3" s="1"/>
  <c r="N7" i="7"/>
  <c r="M7" i="7"/>
  <c r="L7" i="7"/>
  <c r="L70" i="3" s="1"/>
  <c r="K7" i="7"/>
  <c r="K70" i="3" s="1"/>
  <c r="J7" i="7"/>
  <c r="I7" i="7"/>
  <c r="H7" i="7"/>
  <c r="H70" i="3" s="1"/>
  <c r="G7" i="7"/>
  <c r="G70" i="3" s="1"/>
  <c r="F7" i="7"/>
  <c r="E7" i="7"/>
  <c r="D7" i="7"/>
  <c r="D70" i="3" s="1"/>
  <c r="C7" i="7"/>
  <c r="C70" i="3" s="1"/>
  <c r="B7" i="7"/>
  <c r="Z6" i="7"/>
  <c r="U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Z5" i="7"/>
  <c r="U5" i="7"/>
  <c r="P5" i="7"/>
  <c r="O5" i="7"/>
  <c r="N5" i="7"/>
  <c r="N68" i="3" s="1"/>
  <c r="M5" i="7"/>
  <c r="M68" i="3" s="1"/>
  <c r="L5" i="7"/>
  <c r="K5" i="7"/>
  <c r="J5" i="7"/>
  <c r="J68" i="3" s="1"/>
  <c r="I5" i="7"/>
  <c r="I68" i="3" s="1"/>
  <c r="H5" i="7"/>
  <c r="G5" i="7"/>
  <c r="F5" i="7"/>
  <c r="F68" i="3" s="1"/>
  <c r="E5" i="7"/>
  <c r="E68" i="3" s="1"/>
  <c r="D5" i="7"/>
  <c r="C5" i="7"/>
  <c r="B5" i="7"/>
  <c r="B68" i="3" s="1"/>
  <c r="Z4" i="7"/>
  <c r="Z14" i="7" s="1"/>
  <c r="U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Z3" i="7"/>
  <c r="U3" i="7"/>
  <c r="Z2" i="7"/>
  <c r="U2" i="7"/>
  <c r="U10" i="7" s="1"/>
  <c r="U64" i="6"/>
  <c r="U63" i="6"/>
  <c r="U62" i="6"/>
  <c r="U61" i="6"/>
  <c r="U60" i="6"/>
  <c r="U59" i="6"/>
  <c r="U58" i="6"/>
  <c r="U57" i="6"/>
  <c r="U56" i="6"/>
  <c r="U55" i="6"/>
  <c r="U54" i="6"/>
  <c r="U53" i="6"/>
  <c r="U65" i="6" s="1"/>
  <c r="U49" i="6"/>
  <c r="U48" i="6"/>
  <c r="U47" i="6"/>
  <c r="U46" i="6"/>
  <c r="U45" i="6"/>
  <c r="U43" i="6"/>
  <c r="U42" i="6"/>
  <c r="U41" i="6"/>
  <c r="U40" i="6"/>
  <c r="U39" i="6"/>
  <c r="U37" i="6"/>
  <c r="U36" i="6"/>
  <c r="U35" i="6"/>
  <c r="U34" i="6"/>
  <c r="U33" i="6"/>
  <c r="U30" i="6"/>
  <c r="U29" i="6"/>
  <c r="U28" i="6"/>
  <c r="U27" i="6"/>
  <c r="U26" i="6"/>
  <c r="U25" i="6"/>
  <c r="U24" i="6"/>
  <c r="U22" i="6"/>
  <c r="U21" i="6"/>
  <c r="U23" i="6" s="1"/>
  <c r="U20" i="6"/>
  <c r="Z19" i="6"/>
  <c r="U19" i="6"/>
  <c r="Z18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U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U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U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U13" i="6"/>
  <c r="Z12" i="6"/>
  <c r="U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S62" i="3" s="1"/>
  <c r="C12" i="6"/>
  <c r="B12" i="6"/>
  <c r="Z11" i="6"/>
  <c r="U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Z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Q60" i="3" s="1"/>
  <c r="Z9" i="6"/>
  <c r="U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Q59" i="3" s="1"/>
  <c r="Z8" i="6"/>
  <c r="U8" i="6"/>
  <c r="Z7" i="6"/>
  <c r="U7" i="6"/>
  <c r="P7" i="6"/>
  <c r="O7" i="6"/>
  <c r="O62" i="3" s="1"/>
  <c r="N7" i="6"/>
  <c r="M7" i="6"/>
  <c r="L7" i="6"/>
  <c r="K7" i="6"/>
  <c r="K62" i="3" s="1"/>
  <c r="J7" i="6"/>
  <c r="J62" i="3" s="1"/>
  <c r="I7" i="6"/>
  <c r="I62" i="3" s="1"/>
  <c r="H7" i="6"/>
  <c r="G7" i="6"/>
  <c r="G62" i="3" s="1"/>
  <c r="F7" i="6"/>
  <c r="F62" i="3" s="1"/>
  <c r="E7" i="6"/>
  <c r="E62" i="3" s="1"/>
  <c r="D7" i="6"/>
  <c r="C7" i="6"/>
  <c r="C62" i="3" s="1"/>
  <c r="B7" i="6"/>
  <c r="Z6" i="6"/>
  <c r="U6" i="6"/>
  <c r="P6" i="6"/>
  <c r="O6" i="6"/>
  <c r="O61" i="3" s="1"/>
  <c r="N6" i="6"/>
  <c r="N61" i="3" s="1"/>
  <c r="M6" i="6"/>
  <c r="L6" i="6"/>
  <c r="K6" i="6"/>
  <c r="K61" i="3" s="1"/>
  <c r="J6" i="6"/>
  <c r="J61" i="3" s="1"/>
  <c r="I6" i="6"/>
  <c r="H6" i="6"/>
  <c r="G6" i="6"/>
  <c r="G61" i="3" s="1"/>
  <c r="F6" i="6"/>
  <c r="F61" i="3" s="1"/>
  <c r="E6" i="6"/>
  <c r="D6" i="6"/>
  <c r="C6" i="6"/>
  <c r="C61" i="3" s="1"/>
  <c r="B6" i="6"/>
  <c r="B61" i="3" s="1"/>
  <c r="Z5" i="6"/>
  <c r="U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Z4" i="6"/>
  <c r="U4" i="6"/>
  <c r="P4" i="6"/>
  <c r="P59" i="3" s="1"/>
  <c r="O4" i="6"/>
  <c r="N4" i="6"/>
  <c r="M4" i="6"/>
  <c r="M59" i="3" s="1"/>
  <c r="L4" i="6"/>
  <c r="L59" i="3" s="1"/>
  <c r="K4" i="6"/>
  <c r="J4" i="6"/>
  <c r="I4" i="6"/>
  <c r="I59" i="3" s="1"/>
  <c r="H4" i="6"/>
  <c r="H59" i="3" s="1"/>
  <c r="G4" i="6"/>
  <c r="F4" i="6"/>
  <c r="E4" i="6"/>
  <c r="E59" i="3" s="1"/>
  <c r="D4" i="6"/>
  <c r="D59" i="3" s="1"/>
  <c r="C4" i="6"/>
  <c r="B4" i="6"/>
  <c r="Z3" i="6"/>
  <c r="U3" i="6"/>
  <c r="Z2" i="6"/>
  <c r="U2" i="6"/>
  <c r="U64" i="5"/>
  <c r="U63" i="5"/>
  <c r="U62" i="5"/>
  <c r="U61" i="5"/>
  <c r="U60" i="5"/>
  <c r="U59" i="5"/>
  <c r="U58" i="5"/>
  <c r="U57" i="5"/>
  <c r="U56" i="5"/>
  <c r="U55" i="5"/>
  <c r="U54" i="5"/>
  <c r="U53" i="5"/>
  <c r="U49" i="5"/>
  <c r="U48" i="5"/>
  <c r="U47" i="5"/>
  <c r="U46" i="5"/>
  <c r="U45" i="5"/>
  <c r="U43" i="5"/>
  <c r="U42" i="5"/>
  <c r="U41" i="5"/>
  <c r="U40" i="5"/>
  <c r="U39" i="5"/>
  <c r="U44" i="5" s="1"/>
  <c r="U37" i="5"/>
  <c r="U36" i="5"/>
  <c r="U35" i="5"/>
  <c r="U34" i="5"/>
  <c r="U33" i="5"/>
  <c r="U30" i="5"/>
  <c r="U29" i="5"/>
  <c r="U28" i="5"/>
  <c r="U27" i="5"/>
  <c r="U26" i="5"/>
  <c r="U25" i="5"/>
  <c r="U24" i="5"/>
  <c r="U22" i="5"/>
  <c r="U21" i="5"/>
  <c r="U20" i="5"/>
  <c r="Z19" i="5"/>
  <c r="U19" i="5"/>
  <c r="Z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U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U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U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U13" i="5"/>
  <c r="Z12" i="5"/>
  <c r="U12" i="5"/>
  <c r="P12" i="5"/>
  <c r="O12" i="5"/>
  <c r="N12" i="5"/>
  <c r="M12" i="5"/>
  <c r="L12" i="5"/>
  <c r="K12" i="5"/>
  <c r="H55" i="3" s="1"/>
  <c r="J12" i="5"/>
  <c r="G55" i="3" s="1"/>
  <c r="I12" i="5"/>
  <c r="H12" i="5"/>
  <c r="G12" i="5"/>
  <c r="D55" i="3" s="1"/>
  <c r="F12" i="5"/>
  <c r="C55" i="3" s="1"/>
  <c r="E12" i="5"/>
  <c r="D12" i="5"/>
  <c r="C12" i="5"/>
  <c r="B12" i="5"/>
  <c r="Q50" i="3" s="1"/>
  <c r="Z11" i="5"/>
  <c r="U11" i="5"/>
  <c r="P11" i="5"/>
  <c r="O11" i="5"/>
  <c r="N11" i="5"/>
  <c r="M11" i="5"/>
  <c r="L11" i="5"/>
  <c r="I54" i="3" s="1"/>
  <c r="K11" i="5"/>
  <c r="H54" i="3" s="1"/>
  <c r="J11" i="5"/>
  <c r="I11" i="5"/>
  <c r="H11" i="5"/>
  <c r="E54" i="3" s="1"/>
  <c r="G11" i="5"/>
  <c r="D54" i="3" s="1"/>
  <c r="F11" i="5"/>
  <c r="E11" i="5"/>
  <c r="D11" i="5"/>
  <c r="S49" i="3" s="1"/>
  <c r="C11" i="5"/>
  <c r="R49" i="3" s="1"/>
  <c r="B11" i="5"/>
  <c r="Z10" i="5"/>
  <c r="P10" i="5"/>
  <c r="O10" i="5"/>
  <c r="N10" i="5"/>
  <c r="M10" i="5"/>
  <c r="L10" i="5"/>
  <c r="K10" i="5"/>
  <c r="H53" i="3" s="1"/>
  <c r="J10" i="5"/>
  <c r="I10" i="5"/>
  <c r="H10" i="5"/>
  <c r="G10" i="5"/>
  <c r="D53" i="3" s="1"/>
  <c r="F10" i="5"/>
  <c r="E10" i="5"/>
  <c r="D10" i="5"/>
  <c r="S48" i="3" s="1"/>
  <c r="C10" i="5"/>
  <c r="R48" i="3" s="1"/>
  <c r="B10" i="5"/>
  <c r="Z9" i="5"/>
  <c r="U9" i="5"/>
  <c r="P9" i="5"/>
  <c r="O9" i="5"/>
  <c r="N9" i="5"/>
  <c r="M9" i="5"/>
  <c r="J52" i="3" s="1"/>
  <c r="L9" i="5"/>
  <c r="I52" i="3" s="1"/>
  <c r="K9" i="5"/>
  <c r="J9" i="5"/>
  <c r="I9" i="5"/>
  <c r="F52" i="3" s="1"/>
  <c r="H9" i="5"/>
  <c r="E52" i="3" s="1"/>
  <c r="G9" i="5"/>
  <c r="F9" i="5"/>
  <c r="E9" i="5"/>
  <c r="B52" i="3" s="1"/>
  <c r="D9" i="5"/>
  <c r="C9" i="5"/>
  <c r="B9" i="5"/>
  <c r="Z8" i="5"/>
  <c r="U8" i="5"/>
  <c r="Z7" i="5"/>
  <c r="U7" i="5"/>
  <c r="P7" i="5"/>
  <c r="P50" i="3" s="1"/>
  <c r="O7" i="5"/>
  <c r="O50" i="3" s="1"/>
  <c r="N7" i="5"/>
  <c r="M7" i="5"/>
  <c r="L7" i="5"/>
  <c r="L50" i="3" s="1"/>
  <c r="K7" i="5"/>
  <c r="K50" i="3" s="1"/>
  <c r="J7" i="5"/>
  <c r="I7" i="5"/>
  <c r="H7" i="5"/>
  <c r="H50" i="3" s="1"/>
  <c r="G7" i="5"/>
  <c r="G50" i="3" s="1"/>
  <c r="F7" i="5"/>
  <c r="E7" i="5"/>
  <c r="D7" i="5"/>
  <c r="D50" i="3" s="1"/>
  <c r="C7" i="5"/>
  <c r="C50" i="3" s="1"/>
  <c r="B7" i="5"/>
  <c r="Z6" i="5"/>
  <c r="U6" i="5"/>
  <c r="P6" i="5"/>
  <c r="P49" i="3" s="1"/>
  <c r="O6" i="5"/>
  <c r="N6" i="5"/>
  <c r="M6" i="5"/>
  <c r="L6" i="5"/>
  <c r="L49" i="3" s="1"/>
  <c r="K6" i="5"/>
  <c r="J6" i="5"/>
  <c r="I6" i="5"/>
  <c r="H6" i="5"/>
  <c r="H49" i="3" s="1"/>
  <c r="G6" i="5"/>
  <c r="F6" i="5"/>
  <c r="E6" i="5"/>
  <c r="D6" i="5"/>
  <c r="D49" i="3" s="1"/>
  <c r="C6" i="5"/>
  <c r="B6" i="5"/>
  <c r="Z5" i="5"/>
  <c r="U5" i="5"/>
  <c r="P5" i="5"/>
  <c r="O5" i="5"/>
  <c r="N5" i="5"/>
  <c r="N48" i="3" s="1"/>
  <c r="M5" i="5"/>
  <c r="M48" i="3" s="1"/>
  <c r="L5" i="5"/>
  <c r="K5" i="5"/>
  <c r="J5" i="5"/>
  <c r="J48" i="3" s="1"/>
  <c r="I5" i="5"/>
  <c r="I48" i="3" s="1"/>
  <c r="H5" i="5"/>
  <c r="G5" i="5"/>
  <c r="F5" i="5"/>
  <c r="F48" i="3" s="1"/>
  <c r="E5" i="5"/>
  <c r="E48" i="3" s="1"/>
  <c r="D5" i="5"/>
  <c r="C5" i="5"/>
  <c r="B5" i="5"/>
  <c r="B48" i="3" s="1"/>
  <c r="Z4" i="5"/>
  <c r="Z14" i="5" s="1"/>
  <c r="U4" i="5"/>
  <c r="P4" i="5"/>
  <c r="O4" i="5"/>
  <c r="N4" i="5"/>
  <c r="N47" i="3" s="1"/>
  <c r="M4" i="5"/>
  <c r="L4" i="5"/>
  <c r="K4" i="5"/>
  <c r="J4" i="5"/>
  <c r="J47" i="3" s="1"/>
  <c r="I4" i="5"/>
  <c r="H4" i="5"/>
  <c r="G4" i="5"/>
  <c r="F4" i="5"/>
  <c r="F47" i="3" s="1"/>
  <c r="E4" i="5"/>
  <c r="D4" i="5"/>
  <c r="C4" i="5"/>
  <c r="B4" i="5"/>
  <c r="B47" i="3" s="1"/>
  <c r="Z3" i="5"/>
  <c r="U3" i="5"/>
  <c r="Z2" i="5"/>
  <c r="U2" i="5"/>
  <c r="U10" i="5" s="1"/>
  <c r="U64" i="4"/>
  <c r="U63" i="4"/>
  <c r="U62" i="4"/>
  <c r="U61" i="4"/>
  <c r="U60" i="4"/>
  <c r="U59" i="4"/>
  <c r="U58" i="4"/>
  <c r="U57" i="4"/>
  <c r="U56" i="4"/>
  <c r="U55" i="4"/>
  <c r="U54" i="4"/>
  <c r="U53" i="4"/>
  <c r="U65" i="4" s="1"/>
  <c r="U49" i="4"/>
  <c r="U48" i="4"/>
  <c r="U47" i="4"/>
  <c r="U46" i="4"/>
  <c r="U45" i="4"/>
  <c r="U43" i="4"/>
  <c r="U42" i="4"/>
  <c r="U41" i="4"/>
  <c r="U40" i="4"/>
  <c r="U39" i="4"/>
  <c r="U37" i="4"/>
  <c r="U36" i="4"/>
  <c r="U35" i="4"/>
  <c r="U34" i="4"/>
  <c r="U33" i="4"/>
  <c r="U30" i="4"/>
  <c r="U29" i="4"/>
  <c r="U28" i="4"/>
  <c r="U27" i="4"/>
  <c r="U26" i="4"/>
  <c r="U25" i="4"/>
  <c r="U24" i="4"/>
  <c r="U22" i="4"/>
  <c r="U21" i="4"/>
  <c r="U23" i="4" s="1"/>
  <c r="U20" i="4"/>
  <c r="Z19" i="4"/>
  <c r="U19" i="4"/>
  <c r="Z18" i="4"/>
  <c r="P17" i="4"/>
  <c r="O17" i="4"/>
  <c r="N17" i="4"/>
  <c r="M17" i="4"/>
  <c r="L17" i="4"/>
  <c r="K17" i="4"/>
  <c r="J17" i="4"/>
  <c r="I17" i="4"/>
  <c r="H17" i="4"/>
  <c r="G17" i="4"/>
  <c r="F17" i="4"/>
  <c r="R43" i="3" s="1"/>
  <c r="E17" i="4"/>
  <c r="Q43" i="3" s="1"/>
  <c r="D17" i="4"/>
  <c r="C17" i="4"/>
  <c r="B17" i="4"/>
  <c r="N43" i="3" s="1"/>
  <c r="U16" i="4"/>
  <c r="P16" i="4"/>
  <c r="O16" i="4"/>
  <c r="N16" i="4"/>
  <c r="M16" i="4"/>
  <c r="L16" i="4"/>
  <c r="K16" i="4"/>
  <c r="J16" i="4"/>
  <c r="I16" i="4"/>
  <c r="H16" i="4"/>
  <c r="G16" i="4"/>
  <c r="F16" i="4"/>
  <c r="R42" i="3" s="1"/>
  <c r="E16" i="4"/>
  <c r="Q42" i="3" s="1"/>
  <c r="D16" i="4"/>
  <c r="C16" i="4"/>
  <c r="B16" i="4"/>
  <c r="N42" i="3" s="1"/>
  <c r="U15" i="4"/>
  <c r="P15" i="4"/>
  <c r="O15" i="4"/>
  <c r="N15" i="4"/>
  <c r="M15" i="4"/>
  <c r="L15" i="4"/>
  <c r="K15" i="4"/>
  <c r="J15" i="4"/>
  <c r="I15" i="4"/>
  <c r="H15" i="4"/>
  <c r="G15" i="4"/>
  <c r="F15" i="4"/>
  <c r="R41" i="3" s="1"/>
  <c r="E15" i="4"/>
  <c r="Q41" i="3" s="1"/>
  <c r="D15" i="4"/>
  <c r="C15" i="4"/>
  <c r="B15" i="4"/>
  <c r="N41" i="3" s="1"/>
  <c r="U14" i="4"/>
  <c r="P14" i="4"/>
  <c r="O14" i="4"/>
  <c r="N14" i="4"/>
  <c r="M14" i="4"/>
  <c r="L14" i="4"/>
  <c r="K14" i="4"/>
  <c r="J14" i="4"/>
  <c r="I14" i="4"/>
  <c r="H14" i="4"/>
  <c r="G14" i="4"/>
  <c r="F14" i="4"/>
  <c r="R40" i="3" s="1"/>
  <c r="E14" i="4"/>
  <c r="Q40" i="3" s="1"/>
  <c r="D14" i="4"/>
  <c r="C14" i="4"/>
  <c r="B14" i="4"/>
  <c r="N40" i="3" s="1"/>
  <c r="Z13" i="4"/>
  <c r="U13" i="4"/>
  <c r="Z12" i="4"/>
  <c r="U12" i="4"/>
  <c r="P12" i="4"/>
  <c r="M43" i="3" s="1"/>
  <c r="O12" i="4"/>
  <c r="L43" i="3" s="1"/>
  <c r="N12" i="4"/>
  <c r="M12" i="4"/>
  <c r="J43" i="3" s="1"/>
  <c r="L12" i="4"/>
  <c r="K12" i="4"/>
  <c r="H43" i="3" s="1"/>
  <c r="J12" i="4"/>
  <c r="G43" i="3" s="1"/>
  <c r="I12" i="4"/>
  <c r="F43" i="3" s="1"/>
  <c r="H12" i="4"/>
  <c r="E43" i="3" s="1"/>
  <c r="G12" i="4"/>
  <c r="D43" i="3" s="1"/>
  <c r="F12" i="4"/>
  <c r="E12" i="4"/>
  <c r="B43" i="3" s="1"/>
  <c r="D12" i="4"/>
  <c r="S38" i="3" s="1"/>
  <c r="C12" i="4"/>
  <c r="B12" i="4"/>
  <c r="Z11" i="4"/>
  <c r="U11" i="4"/>
  <c r="P11" i="4"/>
  <c r="O11" i="4"/>
  <c r="N11" i="4"/>
  <c r="K42" i="3" s="1"/>
  <c r="M11" i="4"/>
  <c r="J42" i="3" s="1"/>
  <c r="L11" i="4"/>
  <c r="K11" i="4"/>
  <c r="J11" i="4"/>
  <c r="G42" i="3" s="1"/>
  <c r="I11" i="4"/>
  <c r="H11" i="4"/>
  <c r="G11" i="4"/>
  <c r="F11" i="4"/>
  <c r="C42" i="3" s="1"/>
  <c r="E11" i="4"/>
  <c r="B42" i="3" s="1"/>
  <c r="D11" i="4"/>
  <c r="S37" i="3" s="1"/>
  <c r="C11" i="4"/>
  <c r="B11" i="4"/>
  <c r="Q37" i="3" s="1"/>
  <c r="Z10" i="4"/>
  <c r="P10" i="4"/>
  <c r="O10" i="4"/>
  <c r="L41" i="3" s="1"/>
  <c r="N10" i="4"/>
  <c r="M10" i="4"/>
  <c r="J41" i="3" s="1"/>
  <c r="L10" i="4"/>
  <c r="K10" i="4"/>
  <c r="H41" i="3" s="1"/>
  <c r="J10" i="4"/>
  <c r="G41" i="3" s="1"/>
  <c r="I10" i="4"/>
  <c r="F41" i="3" s="1"/>
  <c r="H10" i="4"/>
  <c r="G10" i="4"/>
  <c r="D41" i="3" s="1"/>
  <c r="F10" i="4"/>
  <c r="E10" i="4"/>
  <c r="B41" i="3" s="1"/>
  <c r="D10" i="4"/>
  <c r="C10" i="4"/>
  <c r="R36" i="3" s="1"/>
  <c r="B10" i="4"/>
  <c r="Q36" i="3" s="1"/>
  <c r="Z9" i="4"/>
  <c r="U9" i="4"/>
  <c r="P9" i="4"/>
  <c r="M40" i="3" s="1"/>
  <c r="O9" i="4"/>
  <c r="N9" i="4"/>
  <c r="M9" i="4"/>
  <c r="L9" i="4"/>
  <c r="I40" i="3" s="1"/>
  <c r="K9" i="4"/>
  <c r="H40" i="3" s="1"/>
  <c r="J9" i="4"/>
  <c r="G40" i="3" s="1"/>
  <c r="I9" i="4"/>
  <c r="H9" i="4"/>
  <c r="E40" i="3" s="1"/>
  <c r="G9" i="4"/>
  <c r="D40" i="3" s="1"/>
  <c r="F9" i="4"/>
  <c r="C40" i="3" s="1"/>
  <c r="E9" i="4"/>
  <c r="D9" i="4"/>
  <c r="S35" i="3" s="1"/>
  <c r="C9" i="4"/>
  <c r="B9" i="4"/>
  <c r="Q35" i="3" s="1"/>
  <c r="Z8" i="4"/>
  <c r="U8" i="4"/>
  <c r="Z7" i="4"/>
  <c r="U7" i="4"/>
  <c r="P7" i="4"/>
  <c r="O7" i="4"/>
  <c r="O38" i="3" s="1"/>
  <c r="N7" i="4"/>
  <c r="N38" i="3" s="1"/>
  <c r="M7" i="4"/>
  <c r="M38" i="3" s="1"/>
  <c r="L7" i="4"/>
  <c r="K7" i="4"/>
  <c r="K38" i="3" s="1"/>
  <c r="J7" i="4"/>
  <c r="I7" i="4"/>
  <c r="I38" i="3" s="1"/>
  <c r="H7" i="4"/>
  <c r="G7" i="4"/>
  <c r="G38" i="3" s="1"/>
  <c r="F7" i="4"/>
  <c r="E7" i="4"/>
  <c r="D7" i="4"/>
  <c r="C7" i="4"/>
  <c r="C38" i="3" s="1"/>
  <c r="B7" i="4"/>
  <c r="B38" i="3" s="1"/>
  <c r="Z6" i="4"/>
  <c r="U6" i="4"/>
  <c r="P6" i="4"/>
  <c r="P37" i="3" s="1"/>
  <c r="O6" i="4"/>
  <c r="O37" i="3" s="1"/>
  <c r="N6" i="4"/>
  <c r="N37" i="3" s="1"/>
  <c r="M6" i="4"/>
  <c r="L6" i="4"/>
  <c r="L37" i="3" s="1"/>
  <c r="K6" i="4"/>
  <c r="K37" i="3" s="1"/>
  <c r="J6" i="4"/>
  <c r="J37" i="3" s="1"/>
  <c r="I6" i="4"/>
  <c r="H6" i="4"/>
  <c r="H37" i="3" s="1"/>
  <c r="G6" i="4"/>
  <c r="G37" i="3" s="1"/>
  <c r="F6" i="4"/>
  <c r="F37" i="3" s="1"/>
  <c r="E6" i="4"/>
  <c r="D6" i="4"/>
  <c r="D37" i="3" s="1"/>
  <c r="C6" i="4"/>
  <c r="C37" i="3" s="1"/>
  <c r="B6" i="4"/>
  <c r="B37" i="3" s="1"/>
  <c r="Z5" i="4"/>
  <c r="U5" i="4"/>
  <c r="P5" i="4"/>
  <c r="O5" i="4"/>
  <c r="N5" i="4"/>
  <c r="M5" i="4"/>
  <c r="M36" i="3" s="1"/>
  <c r="L5" i="4"/>
  <c r="L36" i="3" s="1"/>
  <c r="K5" i="4"/>
  <c r="K36" i="3" s="1"/>
  <c r="J5" i="4"/>
  <c r="I5" i="4"/>
  <c r="I36" i="3" s="1"/>
  <c r="H5" i="4"/>
  <c r="H36" i="3" s="1"/>
  <c r="G5" i="4"/>
  <c r="G36" i="3" s="1"/>
  <c r="F5" i="4"/>
  <c r="E5" i="4"/>
  <c r="E36" i="3" s="1"/>
  <c r="D5" i="4"/>
  <c r="C5" i="4"/>
  <c r="C36" i="3" s="1"/>
  <c r="B5" i="4"/>
  <c r="Z4" i="4"/>
  <c r="U4" i="4"/>
  <c r="P4" i="4"/>
  <c r="P35" i="3" s="1"/>
  <c r="O4" i="4"/>
  <c r="N4" i="4"/>
  <c r="M4" i="4"/>
  <c r="L4" i="4"/>
  <c r="L35" i="3" s="1"/>
  <c r="K4" i="4"/>
  <c r="J4" i="4"/>
  <c r="I4" i="4"/>
  <c r="H4" i="4"/>
  <c r="H35" i="3" s="1"/>
  <c r="G4" i="4"/>
  <c r="F4" i="4"/>
  <c r="E4" i="4"/>
  <c r="D4" i="4"/>
  <c r="D35" i="3" s="1"/>
  <c r="C4" i="4"/>
  <c r="B4" i="4"/>
  <c r="Z3" i="4"/>
  <c r="U3" i="4"/>
  <c r="Z2" i="4"/>
  <c r="U2" i="4"/>
  <c r="S318" i="3"/>
  <c r="R318" i="3"/>
  <c r="Q318" i="3"/>
  <c r="P318" i="3"/>
  <c r="O318" i="3"/>
  <c r="N318" i="3"/>
  <c r="M318" i="3"/>
  <c r="L318" i="3"/>
  <c r="K318" i="3"/>
  <c r="J318" i="3"/>
  <c r="I318" i="3"/>
  <c r="H318" i="3"/>
  <c r="G318" i="3"/>
  <c r="F318" i="3"/>
  <c r="E318" i="3"/>
  <c r="D318" i="3"/>
  <c r="C318" i="3"/>
  <c r="B318" i="3"/>
  <c r="A318" i="3"/>
  <c r="S317" i="3"/>
  <c r="R317" i="3"/>
  <c r="Q317" i="3"/>
  <c r="P317" i="3"/>
  <c r="O317" i="3"/>
  <c r="N317" i="3"/>
  <c r="M317" i="3"/>
  <c r="L317" i="3"/>
  <c r="K317" i="3"/>
  <c r="J317" i="3"/>
  <c r="I317" i="3"/>
  <c r="H317" i="3"/>
  <c r="G317" i="3"/>
  <c r="F317" i="3"/>
  <c r="E317" i="3"/>
  <c r="D317" i="3"/>
  <c r="C317" i="3"/>
  <c r="B317" i="3"/>
  <c r="A317" i="3"/>
  <c r="S316" i="3"/>
  <c r="R316" i="3"/>
  <c r="Q316" i="3"/>
  <c r="P316" i="3"/>
  <c r="O316" i="3"/>
  <c r="N316" i="3"/>
  <c r="M316" i="3"/>
  <c r="L316" i="3"/>
  <c r="K316" i="3"/>
  <c r="J316" i="3"/>
  <c r="I316" i="3"/>
  <c r="H316" i="3"/>
  <c r="G316" i="3"/>
  <c r="F316" i="3"/>
  <c r="E316" i="3"/>
  <c r="D316" i="3"/>
  <c r="C316" i="3"/>
  <c r="B316" i="3"/>
  <c r="A316" i="3"/>
  <c r="S315" i="3"/>
  <c r="R315" i="3"/>
  <c r="Q315" i="3"/>
  <c r="P315" i="3"/>
  <c r="O315" i="3"/>
  <c r="N315" i="3"/>
  <c r="M315" i="3"/>
  <c r="L315" i="3"/>
  <c r="K315" i="3"/>
  <c r="J315" i="3"/>
  <c r="I315" i="3"/>
  <c r="H315" i="3"/>
  <c r="G315" i="3"/>
  <c r="F315" i="3"/>
  <c r="E315" i="3"/>
  <c r="D315" i="3"/>
  <c r="C315" i="3"/>
  <c r="B315" i="3"/>
  <c r="A315" i="3"/>
  <c r="C313" i="3"/>
  <c r="J311" i="3"/>
  <c r="I311" i="3"/>
  <c r="H311" i="3"/>
  <c r="G311" i="3"/>
  <c r="F311" i="3"/>
  <c r="E311" i="3"/>
  <c r="D311" i="3"/>
  <c r="C311" i="3"/>
  <c r="B311" i="3"/>
  <c r="A311" i="3"/>
  <c r="J310" i="3"/>
  <c r="I310" i="3"/>
  <c r="H310" i="3"/>
  <c r="G310" i="3"/>
  <c r="F310" i="3"/>
  <c r="E310" i="3"/>
  <c r="D310" i="3"/>
  <c r="C310" i="3"/>
  <c r="B310" i="3"/>
  <c r="A310" i="3"/>
  <c r="J309" i="3"/>
  <c r="I309" i="3"/>
  <c r="H309" i="3"/>
  <c r="G309" i="3"/>
  <c r="F309" i="3"/>
  <c r="E309" i="3"/>
  <c r="D309" i="3"/>
  <c r="C309" i="3"/>
  <c r="B309" i="3"/>
  <c r="A309" i="3"/>
  <c r="J308" i="3"/>
  <c r="I308" i="3"/>
  <c r="H308" i="3"/>
  <c r="G308" i="3"/>
  <c r="F308" i="3"/>
  <c r="E308" i="3"/>
  <c r="D308" i="3"/>
  <c r="C308" i="3"/>
  <c r="B308" i="3"/>
  <c r="A308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A303" i="3"/>
  <c r="C301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D297" i="3"/>
  <c r="C297" i="3"/>
  <c r="B297" i="3"/>
  <c r="A297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D296" i="3"/>
  <c r="C296" i="3"/>
  <c r="B296" i="3"/>
  <c r="A296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D294" i="3"/>
  <c r="C294" i="3"/>
  <c r="B294" i="3"/>
  <c r="A294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D293" i="3"/>
  <c r="C293" i="3"/>
  <c r="B293" i="3"/>
  <c r="A293" i="3"/>
  <c r="S292" i="3"/>
  <c r="R292" i="3"/>
  <c r="Q292" i="3"/>
  <c r="P292" i="3"/>
  <c r="O292" i="3"/>
  <c r="N292" i="3"/>
  <c r="M292" i="3"/>
  <c r="L292" i="3"/>
  <c r="K292" i="3"/>
  <c r="J292" i="3"/>
  <c r="I292" i="3"/>
  <c r="H292" i="3"/>
  <c r="G292" i="3"/>
  <c r="F292" i="3"/>
  <c r="E292" i="3"/>
  <c r="D292" i="3"/>
  <c r="C292" i="3"/>
  <c r="B292" i="3"/>
  <c r="A292" i="3"/>
  <c r="S291" i="3"/>
  <c r="R291" i="3"/>
  <c r="Q291" i="3"/>
  <c r="P291" i="3"/>
  <c r="O291" i="3"/>
  <c r="N291" i="3"/>
  <c r="M291" i="3"/>
  <c r="L291" i="3"/>
  <c r="K291" i="3"/>
  <c r="J291" i="3"/>
  <c r="I291" i="3"/>
  <c r="H291" i="3"/>
  <c r="G291" i="3"/>
  <c r="F291" i="3"/>
  <c r="E291" i="3"/>
  <c r="D291" i="3"/>
  <c r="C291" i="3"/>
  <c r="B291" i="3"/>
  <c r="A291" i="3"/>
  <c r="C289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C285" i="3"/>
  <c r="B285" i="3"/>
  <c r="A285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C281" i="3"/>
  <c r="J279" i="3"/>
  <c r="I279" i="3"/>
  <c r="H279" i="3"/>
  <c r="G279" i="3"/>
  <c r="F279" i="3"/>
  <c r="E279" i="3"/>
  <c r="D279" i="3"/>
  <c r="C279" i="3"/>
  <c r="B279" i="3"/>
  <c r="A279" i="3"/>
  <c r="J278" i="3"/>
  <c r="I278" i="3"/>
  <c r="H278" i="3"/>
  <c r="G278" i="3"/>
  <c r="F278" i="3"/>
  <c r="E278" i="3"/>
  <c r="D278" i="3"/>
  <c r="C278" i="3"/>
  <c r="B278" i="3"/>
  <c r="A278" i="3"/>
  <c r="J277" i="3"/>
  <c r="I277" i="3"/>
  <c r="H277" i="3"/>
  <c r="G277" i="3"/>
  <c r="F277" i="3"/>
  <c r="E277" i="3"/>
  <c r="D277" i="3"/>
  <c r="C277" i="3"/>
  <c r="B277" i="3"/>
  <c r="A277" i="3"/>
  <c r="J276" i="3"/>
  <c r="I276" i="3"/>
  <c r="H276" i="3"/>
  <c r="G276" i="3"/>
  <c r="F276" i="3"/>
  <c r="E276" i="3"/>
  <c r="D276" i="3"/>
  <c r="C276" i="3"/>
  <c r="B276" i="3"/>
  <c r="A276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C274" i="3"/>
  <c r="B274" i="3"/>
  <c r="A274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C273" i="3"/>
  <c r="B273" i="3"/>
  <c r="A273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C269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C267" i="3"/>
  <c r="B267" i="3"/>
  <c r="A267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C266" i="3"/>
  <c r="B266" i="3"/>
  <c r="A266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261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C257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254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A253" i="3"/>
  <c r="S252" i="3"/>
  <c r="R252" i="3"/>
  <c r="Q252" i="3"/>
  <c r="P252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C252" i="3"/>
  <c r="B252" i="3"/>
  <c r="A252" i="3"/>
  <c r="S251" i="3"/>
  <c r="R251" i="3"/>
  <c r="Q251" i="3"/>
  <c r="P251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C251" i="3"/>
  <c r="B251" i="3"/>
  <c r="A251" i="3"/>
  <c r="C249" i="3"/>
  <c r="J247" i="3"/>
  <c r="I247" i="3"/>
  <c r="H247" i="3"/>
  <c r="G247" i="3"/>
  <c r="F247" i="3"/>
  <c r="E247" i="3"/>
  <c r="D247" i="3"/>
  <c r="C247" i="3"/>
  <c r="B247" i="3"/>
  <c r="A247" i="3"/>
  <c r="J246" i="3"/>
  <c r="I246" i="3"/>
  <c r="H246" i="3"/>
  <c r="G246" i="3"/>
  <c r="F246" i="3"/>
  <c r="E246" i="3"/>
  <c r="D246" i="3"/>
  <c r="C246" i="3"/>
  <c r="B246" i="3"/>
  <c r="A246" i="3"/>
  <c r="J245" i="3"/>
  <c r="I245" i="3"/>
  <c r="H245" i="3"/>
  <c r="G245" i="3"/>
  <c r="F245" i="3"/>
  <c r="E245" i="3"/>
  <c r="D245" i="3"/>
  <c r="C245" i="3"/>
  <c r="B245" i="3"/>
  <c r="A245" i="3"/>
  <c r="J244" i="3"/>
  <c r="I244" i="3"/>
  <c r="H244" i="3"/>
  <c r="G244" i="3"/>
  <c r="F244" i="3"/>
  <c r="E244" i="3"/>
  <c r="D244" i="3"/>
  <c r="C244" i="3"/>
  <c r="B244" i="3"/>
  <c r="A244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S239" i="3"/>
  <c r="R239" i="3"/>
  <c r="Q239" i="3"/>
  <c r="P239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C239" i="3"/>
  <c r="B239" i="3"/>
  <c r="A239" i="3"/>
  <c r="C237" i="3"/>
  <c r="S235" i="3"/>
  <c r="R235" i="3"/>
  <c r="Q235" i="3"/>
  <c r="P235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C235" i="3"/>
  <c r="B235" i="3"/>
  <c r="A235" i="3"/>
  <c r="S234" i="3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C234" i="3"/>
  <c r="B234" i="3"/>
  <c r="A234" i="3"/>
  <c r="S233" i="3"/>
  <c r="R233" i="3"/>
  <c r="Q233" i="3"/>
  <c r="P233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C233" i="3"/>
  <c r="B233" i="3"/>
  <c r="A233" i="3"/>
  <c r="S232" i="3"/>
  <c r="R232" i="3"/>
  <c r="Q232" i="3"/>
  <c r="P232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C232" i="3"/>
  <c r="B232" i="3"/>
  <c r="A232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S227" i="3"/>
  <c r="R227" i="3"/>
  <c r="Q227" i="3"/>
  <c r="P227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C227" i="3"/>
  <c r="B227" i="3"/>
  <c r="A227" i="3"/>
  <c r="C225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B220" i="3"/>
  <c r="A220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C217" i="3"/>
  <c r="J215" i="3"/>
  <c r="I215" i="3"/>
  <c r="H215" i="3"/>
  <c r="G215" i="3"/>
  <c r="F215" i="3"/>
  <c r="E215" i="3"/>
  <c r="D215" i="3"/>
  <c r="C215" i="3"/>
  <c r="B215" i="3"/>
  <c r="A215" i="3"/>
  <c r="J214" i="3"/>
  <c r="I214" i="3"/>
  <c r="H214" i="3"/>
  <c r="G214" i="3"/>
  <c r="F214" i="3"/>
  <c r="E214" i="3"/>
  <c r="D214" i="3"/>
  <c r="C214" i="3"/>
  <c r="B214" i="3"/>
  <c r="A214" i="3"/>
  <c r="J213" i="3"/>
  <c r="I213" i="3"/>
  <c r="H213" i="3"/>
  <c r="G213" i="3"/>
  <c r="F213" i="3"/>
  <c r="E213" i="3"/>
  <c r="D213" i="3"/>
  <c r="C213" i="3"/>
  <c r="B213" i="3"/>
  <c r="A213" i="3"/>
  <c r="J212" i="3"/>
  <c r="I212" i="3"/>
  <c r="H212" i="3"/>
  <c r="G212" i="3"/>
  <c r="F212" i="3"/>
  <c r="E212" i="3"/>
  <c r="D212" i="3"/>
  <c r="C212" i="3"/>
  <c r="B212" i="3"/>
  <c r="A212" i="3"/>
  <c r="S210" i="3"/>
  <c r="R210" i="3"/>
  <c r="Q210" i="3"/>
  <c r="P210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C210" i="3"/>
  <c r="B210" i="3"/>
  <c r="A210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209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208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A207" i="3"/>
  <c r="C205" i="3"/>
  <c r="S203" i="3"/>
  <c r="R203" i="3"/>
  <c r="Q203" i="3"/>
  <c r="P203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C203" i="3"/>
  <c r="B203" i="3"/>
  <c r="A203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C198" i="3"/>
  <c r="B198" i="3"/>
  <c r="A198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97" i="3"/>
  <c r="B197" i="3"/>
  <c r="A197" i="3"/>
  <c r="S196" i="3"/>
  <c r="R196" i="3"/>
  <c r="Q196" i="3"/>
  <c r="P196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C196" i="3"/>
  <c r="B196" i="3"/>
  <c r="A196" i="3"/>
  <c r="S195" i="3"/>
  <c r="R195" i="3"/>
  <c r="Q195" i="3"/>
  <c r="P195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C195" i="3"/>
  <c r="B195" i="3"/>
  <c r="A195" i="3"/>
  <c r="C193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C185" i="3"/>
  <c r="J183" i="3"/>
  <c r="I183" i="3"/>
  <c r="H183" i="3"/>
  <c r="G183" i="3"/>
  <c r="F183" i="3"/>
  <c r="E183" i="3"/>
  <c r="D183" i="3"/>
  <c r="C183" i="3"/>
  <c r="B183" i="3"/>
  <c r="A183" i="3"/>
  <c r="J182" i="3"/>
  <c r="I182" i="3"/>
  <c r="H182" i="3"/>
  <c r="G182" i="3"/>
  <c r="F182" i="3"/>
  <c r="E182" i="3"/>
  <c r="D182" i="3"/>
  <c r="C182" i="3"/>
  <c r="B182" i="3"/>
  <c r="A182" i="3"/>
  <c r="J181" i="3"/>
  <c r="I181" i="3"/>
  <c r="H181" i="3"/>
  <c r="G181" i="3"/>
  <c r="F181" i="3"/>
  <c r="E181" i="3"/>
  <c r="D181" i="3"/>
  <c r="C181" i="3"/>
  <c r="B181" i="3"/>
  <c r="A181" i="3"/>
  <c r="J180" i="3"/>
  <c r="I180" i="3"/>
  <c r="H180" i="3"/>
  <c r="G180" i="3"/>
  <c r="F180" i="3"/>
  <c r="E180" i="3"/>
  <c r="D180" i="3"/>
  <c r="C180" i="3"/>
  <c r="B180" i="3"/>
  <c r="A180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C173" i="3"/>
  <c r="S171" i="3"/>
  <c r="R171" i="3"/>
  <c r="Q171" i="3"/>
  <c r="P171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C171" i="3"/>
  <c r="B171" i="3"/>
  <c r="A171" i="3"/>
  <c r="S170" i="3"/>
  <c r="R170" i="3"/>
  <c r="Q170" i="3"/>
  <c r="P170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C170" i="3"/>
  <c r="B170" i="3"/>
  <c r="A170" i="3"/>
  <c r="S169" i="3"/>
  <c r="R169" i="3"/>
  <c r="Q169" i="3"/>
  <c r="P169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C169" i="3"/>
  <c r="B169" i="3"/>
  <c r="A169" i="3"/>
  <c r="S168" i="3"/>
  <c r="R168" i="3"/>
  <c r="Q168" i="3"/>
  <c r="P168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C168" i="3"/>
  <c r="B168" i="3"/>
  <c r="A168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C161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S157" i="3"/>
  <c r="R157" i="3"/>
  <c r="Q157" i="3"/>
  <c r="P157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C157" i="3"/>
  <c r="B157" i="3"/>
  <c r="A157" i="3"/>
  <c r="S156" i="3"/>
  <c r="R156" i="3"/>
  <c r="Q156" i="3"/>
  <c r="P156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A156" i="3"/>
  <c r="S155" i="3"/>
  <c r="R155" i="3"/>
  <c r="Q155" i="3"/>
  <c r="P155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C155" i="3"/>
  <c r="B155" i="3"/>
  <c r="A155" i="3"/>
  <c r="C153" i="3"/>
  <c r="J151" i="3"/>
  <c r="I151" i="3"/>
  <c r="H151" i="3"/>
  <c r="G151" i="3"/>
  <c r="F151" i="3"/>
  <c r="E151" i="3"/>
  <c r="D151" i="3"/>
  <c r="C151" i="3"/>
  <c r="B151" i="3"/>
  <c r="A151" i="3"/>
  <c r="J150" i="3"/>
  <c r="I150" i="3"/>
  <c r="H150" i="3"/>
  <c r="G150" i="3"/>
  <c r="F150" i="3"/>
  <c r="E150" i="3"/>
  <c r="D150" i="3"/>
  <c r="C150" i="3"/>
  <c r="B150" i="3"/>
  <c r="A150" i="3"/>
  <c r="J149" i="3"/>
  <c r="I149" i="3"/>
  <c r="H149" i="3"/>
  <c r="G149" i="3"/>
  <c r="F149" i="3"/>
  <c r="E149" i="3"/>
  <c r="D149" i="3"/>
  <c r="C149" i="3"/>
  <c r="B149" i="3"/>
  <c r="A149" i="3"/>
  <c r="J148" i="3"/>
  <c r="I148" i="3"/>
  <c r="H148" i="3"/>
  <c r="G148" i="3"/>
  <c r="F148" i="3"/>
  <c r="E148" i="3"/>
  <c r="D148" i="3"/>
  <c r="C148" i="3"/>
  <c r="B148" i="3"/>
  <c r="A148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S145" i="3"/>
  <c r="R145" i="3"/>
  <c r="Q145" i="3"/>
  <c r="P145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C145" i="3"/>
  <c r="B145" i="3"/>
  <c r="A145" i="3"/>
  <c r="S144" i="3"/>
  <c r="R144" i="3"/>
  <c r="Q144" i="3"/>
  <c r="P144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C144" i="3"/>
  <c r="B144" i="3"/>
  <c r="A144" i="3"/>
  <c r="S143" i="3"/>
  <c r="R143" i="3"/>
  <c r="Q143" i="3"/>
  <c r="P143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C143" i="3"/>
  <c r="B143" i="3"/>
  <c r="A143" i="3"/>
  <c r="C141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S138" i="3"/>
  <c r="R138" i="3"/>
  <c r="Q138" i="3"/>
  <c r="P138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C138" i="3"/>
  <c r="B138" i="3"/>
  <c r="A138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S133" i="3"/>
  <c r="R133" i="3"/>
  <c r="Q133" i="3"/>
  <c r="P133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C133" i="3"/>
  <c r="B133" i="3"/>
  <c r="A133" i="3"/>
  <c r="S132" i="3"/>
  <c r="R132" i="3"/>
  <c r="Q132" i="3"/>
  <c r="P132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C132" i="3"/>
  <c r="B132" i="3"/>
  <c r="A132" i="3"/>
  <c r="S131" i="3"/>
  <c r="R131" i="3"/>
  <c r="Q131" i="3"/>
  <c r="P131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C131" i="3"/>
  <c r="B131" i="3"/>
  <c r="A131" i="3"/>
  <c r="C129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A126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C121" i="3"/>
  <c r="J119" i="3"/>
  <c r="I119" i="3"/>
  <c r="H119" i="3"/>
  <c r="G119" i="3"/>
  <c r="F119" i="3"/>
  <c r="E119" i="3"/>
  <c r="D119" i="3"/>
  <c r="C119" i="3"/>
  <c r="B119" i="3"/>
  <c r="A119" i="3"/>
  <c r="J118" i="3"/>
  <c r="I118" i="3"/>
  <c r="H118" i="3"/>
  <c r="G118" i="3"/>
  <c r="F118" i="3"/>
  <c r="E118" i="3"/>
  <c r="D118" i="3"/>
  <c r="C118" i="3"/>
  <c r="B118" i="3"/>
  <c r="A118" i="3"/>
  <c r="J117" i="3"/>
  <c r="I117" i="3"/>
  <c r="H117" i="3"/>
  <c r="G117" i="3"/>
  <c r="F117" i="3"/>
  <c r="E117" i="3"/>
  <c r="D117" i="3"/>
  <c r="C117" i="3"/>
  <c r="B117" i="3"/>
  <c r="A117" i="3"/>
  <c r="J116" i="3"/>
  <c r="I116" i="3"/>
  <c r="H116" i="3"/>
  <c r="G116" i="3"/>
  <c r="F116" i="3"/>
  <c r="E116" i="3"/>
  <c r="D116" i="3"/>
  <c r="C116" i="3"/>
  <c r="B116" i="3"/>
  <c r="A116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A114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A113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A112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A111" i="3"/>
  <c r="C109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B104" i="3"/>
  <c r="A104" i="3"/>
  <c r="S102" i="3"/>
  <c r="R102" i="3"/>
  <c r="Q102" i="3"/>
  <c r="P102" i="3"/>
  <c r="O102" i="3"/>
  <c r="N102" i="3"/>
  <c r="L102" i="3"/>
  <c r="K102" i="3"/>
  <c r="J102" i="3"/>
  <c r="H102" i="3"/>
  <c r="G102" i="3"/>
  <c r="F102" i="3"/>
  <c r="D102" i="3"/>
  <c r="C102" i="3"/>
  <c r="B102" i="3"/>
  <c r="A102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S100" i="3"/>
  <c r="R100" i="3"/>
  <c r="Q100" i="3"/>
  <c r="P100" i="3"/>
  <c r="N100" i="3"/>
  <c r="M100" i="3"/>
  <c r="L100" i="3"/>
  <c r="J100" i="3"/>
  <c r="I100" i="3"/>
  <c r="H100" i="3"/>
  <c r="F100" i="3"/>
  <c r="E100" i="3"/>
  <c r="D100" i="3"/>
  <c r="B100" i="3"/>
  <c r="A100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C97" i="3"/>
  <c r="S94" i="3"/>
  <c r="R94" i="3"/>
  <c r="Q94" i="3"/>
  <c r="P94" i="3"/>
  <c r="N94" i="3"/>
  <c r="M94" i="3"/>
  <c r="L94" i="3"/>
  <c r="J94" i="3"/>
  <c r="I94" i="3"/>
  <c r="H94" i="3"/>
  <c r="F94" i="3"/>
  <c r="E94" i="3"/>
  <c r="D94" i="3"/>
  <c r="B94" i="3"/>
  <c r="A94" i="3"/>
  <c r="S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S92" i="3"/>
  <c r="R92" i="3"/>
  <c r="Q92" i="3"/>
  <c r="P92" i="3"/>
  <c r="O92" i="3"/>
  <c r="N92" i="3"/>
  <c r="L92" i="3"/>
  <c r="K92" i="3"/>
  <c r="J92" i="3"/>
  <c r="H92" i="3"/>
  <c r="G92" i="3"/>
  <c r="F92" i="3"/>
  <c r="D92" i="3"/>
  <c r="C92" i="3"/>
  <c r="B92" i="3"/>
  <c r="A92" i="3"/>
  <c r="R91" i="3"/>
  <c r="Q91" i="3"/>
  <c r="P91" i="3"/>
  <c r="O91" i="3"/>
  <c r="M91" i="3"/>
  <c r="L91" i="3"/>
  <c r="K91" i="3"/>
  <c r="I91" i="3"/>
  <c r="H91" i="3"/>
  <c r="G91" i="3"/>
  <c r="E91" i="3"/>
  <c r="D91" i="3"/>
  <c r="C91" i="3"/>
  <c r="A91" i="3"/>
  <c r="C89" i="3"/>
  <c r="H87" i="3"/>
  <c r="G87" i="3"/>
  <c r="E87" i="3"/>
  <c r="D87" i="3"/>
  <c r="C87" i="3"/>
  <c r="A87" i="3"/>
  <c r="J86" i="3"/>
  <c r="I86" i="3"/>
  <c r="H86" i="3"/>
  <c r="G86" i="3"/>
  <c r="F86" i="3"/>
  <c r="E86" i="3"/>
  <c r="D86" i="3"/>
  <c r="C86" i="3"/>
  <c r="B86" i="3"/>
  <c r="A86" i="3"/>
  <c r="I85" i="3"/>
  <c r="H85" i="3"/>
  <c r="G85" i="3"/>
  <c r="E85" i="3"/>
  <c r="D85" i="3"/>
  <c r="C85" i="3"/>
  <c r="A85" i="3"/>
  <c r="J84" i="3"/>
  <c r="I84" i="3"/>
  <c r="G84" i="3"/>
  <c r="F84" i="3"/>
  <c r="E84" i="3"/>
  <c r="B84" i="3"/>
  <c r="A84" i="3"/>
  <c r="R82" i="3"/>
  <c r="Q82" i="3"/>
  <c r="P82" i="3"/>
  <c r="O82" i="3"/>
  <c r="L82" i="3"/>
  <c r="K82" i="3"/>
  <c r="H82" i="3"/>
  <c r="G82" i="3"/>
  <c r="D82" i="3"/>
  <c r="C82" i="3"/>
  <c r="A82" i="3"/>
  <c r="S81" i="3"/>
  <c r="R81" i="3"/>
  <c r="P81" i="3"/>
  <c r="O81" i="3"/>
  <c r="M81" i="3"/>
  <c r="L81" i="3"/>
  <c r="K81" i="3"/>
  <c r="I81" i="3"/>
  <c r="H81" i="3"/>
  <c r="E81" i="3"/>
  <c r="D81" i="3"/>
  <c r="C81" i="3"/>
  <c r="A81" i="3"/>
  <c r="S80" i="3"/>
  <c r="R80" i="3"/>
  <c r="P80" i="3"/>
  <c r="N80" i="3"/>
  <c r="M80" i="3"/>
  <c r="L80" i="3"/>
  <c r="J80" i="3"/>
  <c r="I80" i="3"/>
  <c r="H80" i="3"/>
  <c r="F80" i="3"/>
  <c r="E80" i="3"/>
  <c r="D80" i="3"/>
  <c r="B80" i="3"/>
  <c r="A80" i="3"/>
  <c r="S79" i="3"/>
  <c r="O79" i="3"/>
  <c r="N79" i="3"/>
  <c r="K79" i="3"/>
  <c r="J79" i="3"/>
  <c r="I79" i="3"/>
  <c r="G79" i="3"/>
  <c r="F79" i="3"/>
  <c r="E79" i="3"/>
  <c r="C79" i="3"/>
  <c r="B79" i="3"/>
  <c r="A79" i="3"/>
  <c r="C77" i="3"/>
  <c r="S75" i="3"/>
  <c r="R75" i="3"/>
  <c r="Q75" i="3"/>
  <c r="N75" i="3"/>
  <c r="M75" i="3"/>
  <c r="J75" i="3"/>
  <c r="I75" i="3"/>
  <c r="F75" i="3"/>
  <c r="E75" i="3"/>
  <c r="C75" i="3"/>
  <c r="B75" i="3"/>
  <c r="A75" i="3"/>
  <c r="R74" i="3"/>
  <c r="Q74" i="3"/>
  <c r="N74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S73" i="3"/>
  <c r="R73" i="3"/>
  <c r="Q73" i="3"/>
  <c r="P73" i="3"/>
  <c r="O73" i="3"/>
  <c r="N73" i="3"/>
  <c r="K73" i="3"/>
  <c r="J73" i="3"/>
  <c r="G73" i="3"/>
  <c r="F73" i="3"/>
  <c r="C73" i="3"/>
  <c r="B73" i="3"/>
  <c r="A73" i="3"/>
  <c r="R72" i="3"/>
  <c r="Q72" i="3"/>
  <c r="N72" i="3"/>
  <c r="L72" i="3"/>
  <c r="K72" i="3"/>
  <c r="J72" i="3"/>
  <c r="H72" i="3"/>
  <c r="G72" i="3"/>
  <c r="F72" i="3"/>
  <c r="D72" i="3"/>
  <c r="C72" i="3"/>
  <c r="B72" i="3"/>
  <c r="A72" i="3"/>
  <c r="S70" i="3"/>
  <c r="R70" i="3"/>
  <c r="Q70" i="3"/>
  <c r="N70" i="3"/>
  <c r="M70" i="3"/>
  <c r="J70" i="3"/>
  <c r="I70" i="3"/>
  <c r="F70" i="3"/>
  <c r="E70" i="3"/>
  <c r="B70" i="3"/>
  <c r="A70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S68" i="3"/>
  <c r="Q68" i="3"/>
  <c r="P68" i="3"/>
  <c r="O68" i="3"/>
  <c r="L68" i="3"/>
  <c r="K68" i="3"/>
  <c r="H68" i="3"/>
  <c r="G68" i="3"/>
  <c r="D68" i="3"/>
  <c r="C68" i="3"/>
  <c r="A68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C65" i="3"/>
  <c r="R62" i="3"/>
  <c r="Q62" i="3"/>
  <c r="P62" i="3"/>
  <c r="N62" i="3"/>
  <c r="M62" i="3"/>
  <c r="L62" i="3"/>
  <c r="H62" i="3"/>
  <c r="D62" i="3"/>
  <c r="B62" i="3"/>
  <c r="A62" i="3"/>
  <c r="S61" i="3"/>
  <c r="R61" i="3"/>
  <c r="Q61" i="3"/>
  <c r="P61" i="3"/>
  <c r="M61" i="3"/>
  <c r="L61" i="3"/>
  <c r="I61" i="3"/>
  <c r="H61" i="3"/>
  <c r="E61" i="3"/>
  <c r="D61" i="3"/>
  <c r="A61" i="3"/>
  <c r="S60" i="3"/>
  <c r="R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S59" i="3"/>
  <c r="R59" i="3"/>
  <c r="O59" i="3"/>
  <c r="N59" i="3"/>
  <c r="K59" i="3"/>
  <c r="J59" i="3"/>
  <c r="G59" i="3"/>
  <c r="F59" i="3"/>
  <c r="C59" i="3"/>
  <c r="B59" i="3"/>
  <c r="A59" i="3"/>
  <c r="C57" i="3"/>
  <c r="J55" i="3"/>
  <c r="I55" i="3"/>
  <c r="F55" i="3"/>
  <c r="E55" i="3"/>
  <c r="B55" i="3"/>
  <c r="A55" i="3"/>
  <c r="J54" i="3"/>
  <c r="G54" i="3"/>
  <c r="F54" i="3"/>
  <c r="C54" i="3"/>
  <c r="B54" i="3"/>
  <c r="A54" i="3"/>
  <c r="J53" i="3"/>
  <c r="I53" i="3"/>
  <c r="G53" i="3"/>
  <c r="F53" i="3"/>
  <c r="E53" i="3"/>
  <c r="C53" i="3"/>
  <c r="B53" i="3"/>
  <c r="A53" i="3"/>
  <c r="H52" i="3"/>
  <c r="G52" i="3"/>
  <c r="D52" i="3"/>
  <c r="C52" i="3"/>
  <c r="A52" i="3"/>
  <c r="S50" i="3"/>
  <c r="R50" i="3"/>
  <c r="N50" i="3"/>
  <c r="M50" i="3"/>
  <c r="J50" i="3"/>
  <c r="I50" i="3"/>
  <c r="F50" i="3"/>
  <c r="E50" i="3"/>
  <c r="B50" i="3"/>
  <c r="A50" i="3"/>
  <c r="Q49" i="3"/>
  <c r="O49" i="3"/>
  <c r="N49" i="3"/>
  <c r="M49" i="3"/>
  <c r="K49" i="3"/>
  <c r="J49" i="3"/>
  <c r="I49" i="3"/>
  <c r="G49" i="3"/>
  <c r="F49" i="3"/>
  <c r="E49" i="3"/>
  <c r="C49" i="3"/>
  <c r="B49" i="3"/>
  <c r="A49" i="3"/>
  <c r="Q48" i="3"/>
  <c r="P48" i="3"/>
  <c r="O48" i="3"/>
  <c r="L48" i="3"/>
  <c r="K48" i="3"/>
  <c r="H48" i="3"/>
  <c r="G48" i="3"/>
  <c r="D48" i="3"/>
  <c r="C48" i="3"/>
  <c r="A48" i="3"/>
  <c r="S47" i="3"/>
  <c r="R47" i="3"/>
  <c r="Q47" i="3"/>
  <c r="P47" i="3"/>
  <c r="O47" i="3"/>
  <c r="M47" i="3"/>
  <c r="L47" i="3"/>
  <c r="K47" i="3"/>
  <c r="I47" i="3"/>
  <c r="H47" i="3"/>
  <c r="G47" i="3"/>
  <c r="E47" i="3"/>
  <c r="D47" i="3"/>
  <c r="C47" i="3"/>
  <c r="A47" i="3"/>
  <c r="C45" i="3"/>
  <c r="S43" i="3"/>
  <c r="P43" i="3"/>
  <c r="O43" i="3"/>
  <c r="K43" i="3"/>
  <c r="I43" i="3"/>
  <c r="C43" i="3"/>
  <c r="A43" i="3"/>
  <c r="S42" i="3"/>
  <c r="P42" i="3"/>
  <c r="O42" i="3"/>
  <c r="M42" i="3"/>
  <c r="L42" i="3"/>
  <c r="I42" i="3"/>
  <c r="H42" i="3"/>
  <c r="F42" i="3"/>
  <c r="E42" i="3"/>
  <c r="D42" i="3"/>
  <c r="A42" i="3"/>
  <c r="S41" i="3"/>
  <c r="P41" i="3"/>
  <c r="O41" i="3"/>
  <c r="M41" i="3"/>
  <c r="K41" i="3"/>
  <c r="I41" i="3"/>
  <c r="E41" i="3"/>
  <c r="C41" i="3"/>
  <c r="A41" i="3"/>
  <c r="S40" i="3"/>
  <c r="P40" i="3"/>
  <c r="O40" i="3"/>
  <c r="L40" i="3"/>
  <c r="K40" i="3"/>
  <c r="J40" i="3"/>
  <c r="F40" i="3"/>
  <c r="B40" i="3"/>
  <c r="A40" i="3"/>
  <c r="R38" i="3"/>
  <c r="Q38" i="3"/>
  <c r="P38" i="3"/>
  <c r="L38" i="3"/>
  <c r="J38" i="3"/>
  <c r="H38" i="3"/>
  <c r="F38" i="3"/>
  <c r="E38" i="3"/>
  <c r="D38" i="3"/>
  <c r="A38" i="3"/>
  <c r="R37" i="3"/>
  <c r="M37" i="3"/>
  <c r="I37" i="3"/>
  <c r="E37" i="3"/>
  <c r="A37" i="3"/>
  <c r="S36" i="3"/>
  <c r="P36" i="3"/>
  <c r="O36" i="3"/>
  <c r="N36" i="3"/>
  <c r="J36" i="3"/>
  <c r="F36" i="3"/>
  <c r="D36" i="3"/>
  <c r="B36" i="3"/>
  <c r="A36" i="3"/>
  <c r="R35" i="3"/>
  <c r="O35" i="3"/>
  <c r="N35" i="3"/>
  <c r="M35" i="3"/>
  <c r="K35" i="3"/>
  <c r="J35" i="3"/>
  <c r="I35" i="3"/>
  <c r="G35" i="3"/>
  <c r="F35" i="3"/>
  <c r="E35" i="3"/>
  <c r="C35" i="3"/>
  <c r="B35" i="3"/>
  <c r="A35" i="3"/>
  <c r="C33" i="3"/>
  <c r="U18" i="7" l="1"/>
  <c r="U17" i="4"/>
  <c r="U31" i="5"/>
  <c r="U17" i="8"/>
  <c r="U52" i="5"/>
  <c r="U38" i="6"/>
  <c r="U52" i="7"/>
  <c r="U10" i="4"/>
  <c r="Z14" i="4"/>
  <c r="U18" i="5"/>
  <c r="U38" i="4"/>
  <c r="U17" i="6"/>
  <c r="U31" i="7"/>
  <c r="U18" i="11"/>
  <c r="U18" i="15"/>
  <c r="U18" i="19"/>
  <c r="U23" i="20"/>
  <c r="U65" i="20"/>
  <c r="Z14" i="21"/>
  <c r="U44" i="21"/>
  <c r="U23" i="22"/>
  <c r="U65" i="22"/>
  <c r="U10" i="23"/>
  <c r="U18" i="23" s="1"/>
  <c r="Z14" i="23"/>
  <c r="U44" i="23"/>
  <c r="U23" i="24"/>
  <c r="U65" i="24"/>
  <c r="U10" i="25"/>
  <c r="U18" i="25" s="1"/>
  <c r="Z14" i="25"/>
  <c r="U44" i="25"/>
  <c r="U23" i="26"/>
  <c r="U65" i="26"/>
  <c r="Z14" i="27"/>
  <c r="U44" i="27"/>
  <c r="U23" i="28"/>
  <c r="U65" i="28"/>
  <c r="U10" i="29"/>
  <c r="U31" i="29"/>
  <c r="U44" i="29"/>
  <c r="U17" i="30"/>
  <c r="U18" i="30" s="1"/>
  <c r="U38" i="8"/>
  <c r="U31" i="9"/>
  <c r="U52" i="9"/>
  <c r="U17" i="10"/>
  <c r="U38" i="10"/>
  <c r="U31" i="11"/>
  <c r="U52" i="11"/>
  <c r="U17" i="12"/>
  <c r="U38" i="12"/>
  <c r="U31" i="13"/>
  <c r="U52" i="13"/>
  <c r="U17" i="14"/>
  <c r="U38" i="14"/>
  <c r="U31" i="15"/>
  <c r="U52" i="15"/>
  <c r="U17" i="16"/>
  <c r="U38" i="16"/>
  <c r="U31" i="17"/>
  <c r="U52" i="17"/>
  <c r="U17" i="18"/>
  <c r="U38" i="18"/>
  <c r="U31" i="19"/>
  <c r="U52" i="19"/>
  <c r="U17" i="20"/>
  <c r="U44" i="4"/>
  <c r="U23" i="5"/>
  <c r="U65" i="5"/>
  <c r="U10" i="6"/>
  <c r="U18" i="6" s="1"/>
  <c r="Z14" i="6"/>
  <c r="U44" i="6"/>
  <c r="U23" i="7"/>
  <c r="U32" i="7" s="1"/>
  <c r="U65" i="7"/>
  <c r="U10" i="8"/>
  <c r="U18" i="8" s="1"/>
  <c r="Z14" i="8"/>
  <c r="U44" i="8"/>
  <c r="U23" i="9"/>
  <c r="U32" i="9" s="1"/>
  <c r="U65" i="9"/>
  <c r="U10" i="10"/>
  <c r="Z14" i="10"/>
  <c r="U44" i="10"/>
  <c r="U23" i="11"/>
  <c r="U65" i="11"/>
  <c r="U10" i="12"/>
  <c r="U18" i="12" s="1"/>
  <c r="U67" i="12" s="1"/>
  <c r="Z14" i="12"/>
  <c r="U44" i="12"/>
  <c r="U23" i="13"/>
  <c r="U32" i="13" s="1"/>
  <c r="U65" i="13"/>
  <c r="U10" i="14"/>
  <c r="U18" i="14" s="1"/>
  <c r="Z14" i="14"/>
  <c r="U44" i="14"/>
  <c r="U23" i="15"/>
  <c r="U32" i="15" s="1"/>
  <c r="U65" i="15"/>
  <c r="U10" i="16"/>
  <c r="Z14" i="16"/>
  <c r="U44" i="16"/>
  <c r="U23" i="17"/>
  <c r="U32" i="17" s="1"/>
  <c r="U65" i="17"/>
  <c r="U10" i="18"/>
  <c r="Z14" i="18"/>
  <c r="U44" i="18"/>
  <c r="U23" i="19"/>
  <c r="U65" i="19"/>
  <c r="U10" i="20"/>
  <c r="U18" i="20" s="1"/>
  <c r="Z14" i="20"/>
  <c r="U44" i="20"/>
  <c r="U10" i="21"/>
  <c r="U23" i="21"/>
  <c r="U32" i="21" s="1"/>
  <c r="U65" i="21"/>
  <c r="U10" i="22"/>
  <c r="U18" i="22" s="1"/>
  <c r="Z14" i="22"/>
  <c r="U44" i="22"/>
  <c r="U23" i="23"/>
  <c r="U32" i="23" s="1"/>
  <c r="U65" i="23"/>
  <c r="U10" i="24"/>
  <c r="U18" i="24" s="1"/>
  <c r="Z14" i="24"/>
  <c r="U44" i="24"/>
  <c r="U23" i="25"/>
  <c r="U32" i="25" s="1"/>
  <c r="U65" i="25"/>
  <c r="U10" i="26"/>
  <c r="U18" i="26" s="1"/>
  <c r="Z14" i="26"/>
  <c r="U44" i="26"/>
  <c r="U10" i="27"/>
  <c r="U23" i="27"/>
  <c r="U32" i="27" s="1"/>
  <c r="U65" i="27"/>
  <c r="U10" i="28"/>
  <c r="U18" i="28" s="1"/>
  <c r="Z14" i="28"/>
  <c r="U44" i="28"/>
  <c r="U17" i="29"/>
  <c r="U65" i="29"/>
  <c r="U10" i="30"/>
  <c r="U31" i="30"/>
  <c r="U32" i="30" s="1"/>
  <c r="U44" i="30"/>
  <c r="U31" i="4"/>
  <c r="U32" i="4" s="1"/>
  <c r="U17" i="5"/>
  <c r="U38" i="5"/>
  <c r="U31" i="6"/>
  <c r="U32" i="6" s="1"/>
  <c r="U52" i="6"/>
  <c r="U17" i="7"/>
  <c r="U38" i="7"/>
  <c r="U31" i="8"/>
  <c r="U32" i="8" s="1"/>
  <c r="U67" i="8" s="1"/>
  <c r="U52" i="8"/>
  <c r="U17" i="9"/>
  <c r="U18" i="9" s="1"/>
  <c r="U67" i="9" s="1"/>
  <c r="U38" i="9"/>
  <c r="U31" i="10"/>
  <c r="U32" i="10" s="1"/>
  <c r="U52" i="10"/>
  <c r="U17" i="11"/>
  <c r="U38" i="11"/>
  <c r="U31" i="12"/>
  <c r="U32" i="12" s="1"/>
  <c r="U52" i="12"/>
  <c r="U17" i="13"/>
  <c r="U18" i="13" s="1"/>
  <c r="U67" i="13" s="1"/>
  <c r="U38" i="13"/>
  <c r="U31" i="14"/>
  <c r="U32" i="14" s="1"/>
  <c r="U67" i="14" s="1"/>
  <c r="U52" i="14"/>
  <c r="U17" i="15"/>
  <c r="U38" i="15"/>
  <c r="U31" i="16"/>
  <c r="U32" i="16" s="1"/>
  <c r="U52" i="16"/>
  <c r="U17" i="17"/>
  <c r="U18" i="17" s="1"/>
  <c r="U67" i="17" s="1"/>
  <c r="U38" i="17"/>
  <c r="U31" i="18"/>
  <c r="U32" i="18" s="1"/>
  <c r="U52" i="18"/>
  <c r="U17" i="19"/>
  <c r="U38" i="19"/>
  <c r="U31" i="20"/>
  <c r="U52" i="20"/>
  <c r="U17" i="21"/>
  <c r="U38" i="21"/>
  <c r="U31" i="22"/>
  <c r="U52" i="22"/>
  <c r="U17" i="23"/>
  <c r="U38" i="23"/>
  <c r="U31" i="24"/>
  <c r="U52" i="24"/>
  <c r="U17" i="25"/>
  <c r="U38" i="25"/>
  <c r="U31" i="26"/>
  <c r="U52" i="26"/>
  <c r="U17" i="27"/>
  <c r="U38" i="27"/>
  <c r="U31" i="28"/>
  <c r="U52" i="28"/>
  <c r="U23" i="29"/>
  <c r="U38" i="29"/>
  <c r="Z14" i="30"/>
  <c r="U52" i="30"/>
  <c r="U52" i="4"/>
  <c r="U18" i="21"/>
  <c r="U67" i="21" s="1"/>
  <c r="U18" i="27"/>
  <c r="U67" i="27" s="1"/>
  <c r="U32" i="29"/>
  <c r="U67" i="30" l="1"/>
  <c r="U32" i="19"/>
  <c r="U18" i="16"/>
  <c r="U67" i="16" s="1"/>
  <c r="U32" i="11"/>
  <c r="U18" i="29"/>
  <c r="U32" i="22"/>
  <c r="U67" i="22" s="1"/>
  <c r="U32" i="20"/>
  <c r="U67" i="20" s="1"/>
  <c r="U18" i="4"/>
  <c r="U67" i="6"/>
  <c r="U67" i="25"/>
  <c r="U67" i="19"/>
  <c r="U67" i="15"/>
  <c r="U67" i="11"/>
  <c r="U67" i="7"/>
  <c r="U67" i="4"/>
  <c r="U32" i="28"/>
  <c r="U67" i="28" s="1"/>
  <c r="U32" i="26"/>
  <c r="U67" i="26" s="1"/>
  <c r="U67" i="23"/>
  <c r="U67" i="29"/>
  <c r="U18" i="18"/>
  <c r="U67" i="18" s="1"/>
  <c r="U18" i="10"/>
  <c r="U67" i="10" s="1"/>
  <c r="U32" i="5"/>
  <c r="U67" i="5" s="1"/>
  <c r="U32" i="24"/>
  <c r="U67" i="24" s="1"/>
</calcChain>
</file>

<file path=xl/sharedStrings.xml><?xml version="1.0" encoding="utf-8"?>
<sst xmlns="http://schemas.openxmlformats.org/spreadsheetml/2006/main" count="6033" uniqueCount="447">
  <si>
    <t>岩倉市日本語・ポルトガル語適応指導教室</t>
  </si>
  <si>
    <t xml:space="preserve">   ● 岩倉日本語指導方式</t>
  </si>
  <si>
    <t>　　　年間 標準指導ユニット 配当計画　ステップ・学年・月別</t>
  </si>
  <si>
    <t>指導ユニット(モジュール数)</t>
  </si>
  <si>
    <t>サイクル【学期ごとにステップの見直し】</t>
  </si>
  <si>
    <t>ステップ1【S1】</t>
  </si>
  <si>
    <t>ステップ2【S2】</t>
  </si>
  <si>
    <t>ステップ3【S3】</t>
  </si>
  <si>
    <t>ステップ4【S4】</t>
  </si>
  <si>
    <t>年間－３サイクル</t>
  </si>
  <si>
    <t>１学期</t>
  </si>
  <si>
    <t>４月(3週)</t>
  </si>
  <si>
    <t xml:space="preserve"> 15指導ユニット(60モジュール)</t>
  </si>
  <si>
    <t xml:space="preserve"> 12指導ユニット(48モジュール)</t>
  </si>
  <si>
    <t xml:space="preserve">  9指導ユニット(36モジュール)</t>
  </si>
  <si>
    <t xml:space="preserve">  6指導ユニット(24モジュール)</t>
  </si>
  <si>
    <t>５月(3週)</t>
  </si>
  <si>
    <t>６月(4週)</t>
  </si>
  <si>
    <t xml:space="preserve"> 20指導ユニット(80モジュール)</t>
  </si>
  <si>
    <t xml:space="preserve"> 16指導ユニット(64モジュール)</t>
  </si>
  <si>
    <t xml:space="preserve">  8指導ユニット(32モジュール)</t>
  </si>
  <si>
    <t>７月(2週)</t>
  </si>
  <si>
    <t xml:space="preserve"> 10指導ユニット(40モジュール)</t>
  </si>
  <si>
    <t xml:space="preserve">  4指導ユニット(16モジュール)</t>
  </si>
  <si>
    <t>評価　→　ステップの見直し</t>
  </si>
  <si>
    <t>２学期</t>
  </si>
  <si>
    <t>９月(3週)</t>
  </si>
  <si>
    <t>10月(4週)</t>
  </si>
  <si>
    <t>11月(4週)</t>
  </si>
  <si>
    <t>12月(3週)</t>
  </si>
  <si>
    <t>３学期</t>
  </si>
  <si>
    <t>１月(3週)</t>
  </si>
  <si>
    <t>２月(4週)</t>
  </si>
  <si>
    <t>３月(2週)</t>
  </si>
  <si>
    <t>　・　１指導ユニットのモジュール数配分は，日本語力のステップに応じて比率を決める。</t>
  </si>
  <si>
    <t>　　　現在の日本語力レベルと学年の学習内容，１指導ユニット・モジュール数配分比率は，概ね下記のようにする。</t>
  </si>
  <si>
    <r>
      <rPr>
        <sz val="13"/>
        <rFont val="ＤＦＰ教科書体W3"/>
        <family val="1"/>
        <charset val="128"/>
      </rPr>
      <t>　　　　　　　</t>
    </r>
    <r>
      <rPr>
        <sz val="13"/>
        <rFont val="ＤＦＰ教科書体W3"/>
        <family val="1"/>
        <charset val="128"/>
      </rPr>
      <t>ステップに応じた指導内容</t>
    </r>
    <r>
      <rPr>
        <sz val="13"/>
        <rFont val="ＤＦＰ教科書体W3"/>
        <family val="1"/>
        <charset val="128"/>
      </rPr>
      <t>　：　</t>
    </r>
    <r>
      <rPr>
        <sz val="13"/>
        <rFont val="ＤＦＰ教科書体W3"/>
        <family val="1"/>
        <charset val="128"/>
      </rPr>
      <t>現在の学年学習内容</t>
    </r>
    <r>
      <rPr>
        <sz val="13"/>
        <rFont val="ＤＦＰ教科書体W3"/>
        <family val="1"/>
        <charset val="128"/>
      </rPr>
      <t>　　　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</si>
  <si>
    <r>
      <rPr>
        <sz val="13"/>
        <rFont val="ＭＳ 明朝"/>
        <family val="1"/>
        <charset val="128"/>
      </rPr>
      <t>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</si>
  <si>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</si>
  <si>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</si>
  <si>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</si>
  <si>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15指導ユニット(60モジュール)</t>
    </r>
  </si>
  <si>
    <t>　 指導ユニット①</t>
  </si>
  <si>
    <t>　 指導ユニット②</t>
  </si>
  <si>
    <t>　 指導ユニット③</t>
  </si>
  <si>
    <t>　 指導ユニット④</t>
  </si>
  <si>
    <t>　 指導ユニット⑤</t>
  </si>
  <si>
    <t>　 指導ユニット⑥</t>
  </si>
  <si>
    <t xml:space="preserve"> 日本語 『ステップ指導内容』</t>
  </si>
  <si>
    <t xml:space="preserve"> 日本語／国語 『現学年の指導内容』</t>
  </si>
  <si>
    <t xml:space="preserve"> 算　数 『ステップ指導内容』</t>
  </si>
  <si>
    <t>　 指導ユニット⑦</t>
  </si>
  <si>
    <t>　 指導ユニット⑧</t>
  </si>
  <si>
    <t>　 指導ユニット⑨</t>
  </si>
  <si>
    <t>　 指導ユニット⑩</t>
  </si>
  <si>
    <t>　 指導ユニット⑪</t>
  </si>
  <si>
    <t>　 指導ユニット⑫</t>
  </si>
  <si>
    <t xml:space="preserve"> 算数／数学 『現学年の指導内容』</t>
  </si>
  <si>
    <t>　 指導ユニット⑬</t>
  </si>
  <si>
    <t>　 指導ユニット⑭</t>
  </si>
  <si>
    <t>　 指導ユニット⑮</t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</si>
  <si>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</si>
  <si>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6月・10月・11月・2月－ 20指導ユニット(80モジュール)</t>
    </r>
  </si>
  <si>
    <t>　 指導ユニット⑯</t>
  </si>
  <si>
    <t>　 指導ユニット⑰</t>
  </si>
  <si>
    <t>　 指導ユニット⑱</t>
  </si>
  <si>
    <t>　 指導ユニット⑲</t>
  </si>
  <si>
    <t>　 指導ユニット⑳</t>
  </si>
  <si>
    <t>月別指導モジュール数</t>
  </si>
  <si>
    <t>日本語</t>
  </si>
  <si>
    <t>算数</t>
  </si>
  <si>
    <t>４・５・９・１２・１月</t>
  </si>
  <si>
    <t>３９モジュール（ステップ－３１：現学年－８）</t>
  </si>
  <si>
    <t>２１モジュール（ステップ－１７：現学年－４）</t>
  </si>
  <si>
    <t>７・３月</t>
  </si>
  <si>
    <t>２６モジュール（ステップ－２１：現学年－５）</t>
  </si>
  <si>
    <t>１４モジュール（ステップ－１１：現学年－３）</t>
  </si>
  <si>
    <t>６・１０・１１・２月</t>
  </si>
  <si>
    <t>５２モジュール（ステップ－４１：現学年－１１）</t>
  </si>
  <si>
    <t>２８モジュール（ステップ－２２：現学年－６）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</si>
  <si>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</si>
  <si>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日本語 　　 『ステップ指導内容』</t>
  </si>
  <si>
    <t xml:space="preserve"> 国　語　 　 【現学年の指導内容】</t>
  </si>
  <si>
    <t xml:space="preserve"> 算　数　 　 【現学年の指導内容】</t>
  </si>
  <si>
    <t xml:space="preserve"> 算　数　 　 『ステップ指導内容』</t>
  </si>
  <si>
    <t xml:space="preserve"> 図音体生 　 『ステップ指導内容』</t>
  </si>
  <si>
    <t xml:space="preserve"> 図音体生　  『ステップ指導内容』</t>
  </si>
  <si>
    <t xml:space="preserve"> 算　数　　  【現学年の指導内容】</t>
  </si>
  <si>
    <t xml:space="preserve"> 算　数 　　 【現学年の指導内容】</t>
  </si>
  <si>
    <t xml:space="preserve"> 図音体生　  【現学年の指導内容】</t>
  </si>
  <si>
    <t>日本語/国語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</si>
  <si>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生活科</t>
    </r>
  </si>
  <si>
    <t>２７モジュール（ステップ－１６：現学年－９）</t>
  </si>
  <si>
    <t>１２モジュール（ステップ－７：現学年－５）</t>
  </si>
  <si>
    <t>９モジュール（ステップ－６：現学年－３）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</si>
  <si>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7月・3月－　 10指導ユニット(32モジュール)</t>
    </r>
  </si>
  <si>
    <t>１８モジュール（ステップ－１１：現学年－７）</t>
  </si>
  <si>
    <t>８モジュール（ステップ－５：現学年－３）</t>
  </si>
  <si>
    <t>６モジュール（ステップ－４:現学年－２）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</si>
  <si>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</si>
  <si>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３４モジュール（ステップ－２０：現学年－１４）</t>
  </si>
  <si>
    <t>１４モジュール（ステップ－９：現学年－５）</t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</si>
  <si>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</si>
  <si>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</si>
  <si>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</si>
  <si>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１８モジュール（ステップ－７：現学年－１１）</t>
  </si>
  <si>
    <t>９モジュール（ステップ－４：現学年－５）</t>
  </si>
  <si>
    <t>１２モジュール（ステップ－５：現学年－７）</t>
  </si>
  <si>
    <t>６モジュール（ステップ－２：現学年－４）</t>
  </si>
  <si>
    <t>２４モジュール（ステップ－１０：現学年－１４）</t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</si>
  <si>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</si>
  <si>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</si>
  <si>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</si>
  <si>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１２モジュール（ステップ－２：現学年－１０）</t>
  </si>
  <si>
    <t>６モジュール（ステップ－１：現学年－５）</t>
  </si>
  <si>
    <t>８モジュール（ステップ－２：現学年－６）</t>
  </si>
  <si>
    <t>４モジュール（ステップ－１：現学年－３）</t>
  </si>
  <si>
    <t>１６モジュール（ステップ－３：現学年－１３）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</si>
  <si>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</si>
  <si>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図音体　　  『ステップ指導内容』</t>
  </si>
  <si>
    <t xml:space="preserve"> 図音体 　 　【現学年の指導内容】</t>
  </si>
  <si>
    <t xml:space="preserve"> 理　科　　  『ステップ指導内容』</t>
  </si>
  <si>
    <t xml:space="preserve"> 理　科　　  【現学年の指導内容】</t>
  </si>
  <si>
    <t xml:space="preserve"> 社　会　　  『ステップ指導内容』</t>
  </si>
  <si>
    <t xml:space="preserve"> 社　会 　　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</si>
  <si>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</si>
  <si>
    <t>理科</t>
  </si>
  <si>
    <t>社会</t>
  </si>
  <si>
    <t>３モジュール（ステップ－２：現学年－１）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</si>
  <si>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7月・3月－ 10指導ユニット(32モジュール)</t>
    </r>
  </si>
  <si>
    <t>２モジュール（ステップ－１：現学年－１）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</si>
  <si>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</si>
  <si>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４モジュール（ステップ－２：現学年－２）</t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</si>
  <si>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</si>
  <si>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</si>
  <si>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</si>
  <si>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３モジュール（ステップ－１：現学年－２）</t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</si>
  <si>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</si>
  <si>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</si>
  <si>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</si>
  <si>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９モジュール（ステップ－２：現学年－７）</t>
  </si>
  <si>
    <t>２モジュール（ステップ－０：現学年－２）</t>
  </si>
  <si>
    <t>１２モジュール（ステップ－３：現学年－９）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</si>
  <si>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4月・5月・9月・12月・1月－12指導ユニット(48モジュール)</t>
    </r>
  </si>
  <si>
    <t xml:space="preserve"> 図音体家　  『ステップ指導内容』</t>
  </si>
  <si>
    <t xml:space="preserve"> 図音体家　 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</si>
  <si>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体育・家庭科</t>
    </r>
  </si>
  <si>
    <t>２７モジュール（ステップ－１９：現学年－８）</t>
  </si>
  <si>
    <t>１２モジュール（ステップ－８：現学年－４）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</si>
  <si>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</si>
  <si>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t>１８モジュール（ステップ－１３：現学年－５）</t>
  </si>
  <si>
    <t>８モジュール（ステップ－６：現学年－２）</t>
  </si>
  <si>
    <t>２モジュール（ステップ－２：現学年－０）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</si>
  <si>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6月・10月・11月・2月－16指導ユニット(60モジュール)</t>
    </r>
  </si>
  <si>
    <t>４モジュール（ステップ－３：現学年－１）</t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</si>
  <si>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4月・5月・9月・12月・1月－9指導ユニット(36モジュール)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</si>
  <si>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</si>
  <si>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</si>
  <si>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0.5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家庭科</t>
    </r>
  </si>
  <si>
    <t>１８モジュール（ステップ－９：現学年－９）</t>
  </si>
  <si>
    <t>９モジュール（ステップ－５：現学年－４）</t>
  </si>
  <si>
    <t>１２モジュール（ステップ－６：現学年－６）</t>
  </si>
  <si>
    <t>６モジュール（ステップ－３：現学年－３）</t>
  </si>
  <si>
    <t>２４モジュール（ステップ－１２：現学年－１２）</t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</si>
  <si>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4月・5月・9月・12月・1月－6指導ユニット(24モジュール)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</si>
  <si>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</si>
  <si>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</si>
  <si>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『ステップ1』【全学年共通】</t>
  </si>
  <si>
    <t>『ステップ2』【小1・小2】</t>
  </si>
  <si>
    <t>３０モジュール（ステップ－１８：現学年－１２）</t>
  </si>
  <si>
    <t>１４モジュール（ステップ－８：現学年－６）</t>
  </si>
  <si>
    <t>２０モジュール（ステップ－１２：現学年－８）</t>
  </si>
  <si>
    <t>３モジュール（ステップ－２:現学年－１）</t>
  </si>
  <si>
    <t>３８モジュール（ステップ－２２：現学年－１６）</t>
  </si>
  <si>
    <t>１６モジュール（ステップ－１０：現学年－６）</t>
  </si>
  <si>
    <t>６モジュール（ステップ－４：現学年－２）</t>
  </si>
  <si>
    <t>『ステップ3』【小1・小2】</t>
  </si>
  <si>
    <t>２１モジュール（ステップ－９：現学年－１２）</t>
  </si>
  <si>
    <t>１１モジュール（ステップ－５：現学年－６）</t>
  </si>
  <si>
    <t>１４モジュール（ステップ－６：現学年－８）</t>
  </si>
  <si>
    <t>７モジュール（ステップ－３：現学年－４）</t>
  </si>
  <si>
    <t>２８モジュール（ステップ－１２：現学年－１６）</t>
  </si>
  <si>
    <t>『ステップ4』【小1・小2】</t>
  </si>
  <si>
    <t>１４モジュール（ステップ－３：現学年－１１）</t>
  </si>
  <si>
    <t>７モジュール（ステップ－２：現学年－５）</t>
  </si>
  <si>
    <t>５モジュール（ステップ－１：現学年－４）</t>
  </si>
  <si>
    <t>１９モジュール（ステップ－４：現学年－１５）</t>
  </si>
  <si>
    <t>『ステップ2』【小3・小4・小5・小6・中1・中2・中3】</t>
  </si>
  <si>
    <t>２７モジュール（ステップ－１６：現学年－１１）</t>
  </si>
  <si>
    <t>『ステップ3』【小3・小4・小5・小6・中1・中2・中3】</t>
  </si>
  <si>
    <t>『ステップ4』【小3・小4・小5・小6・中1・中2・中3】</t>
  </si>
  <si>
    <t>モジュール</t>
  </si>
  <si>
    <t>ユニット①</t>
  </si>
  <si>
    <t>ユニット②</t>
  </si>
  <si>
    <t>ユニット③</t>
  </si>
  <si>
    <t>ユニット④</t>
  </si>
  <si>
    <t>ユニット⑤</t>
  </si>
  <si>
    <t>ユニット⑥</t>
  </si>
  <si>
    <t>ユニット⑦</t>
  </si>
  <si>
    <t>ユニット⑧</t>
  </si>
  <si>
    <t>ユニット⑨</t>
  </si>
  <si>
    <t>ユニット⑩</t>
  </si>
  <si>
    <t>ユニット⑪</t>
  </si>
  <si>
    <t>ユニット⑫</t>
  </si>
  <si>
    <t>指導内容</t>
  </si>
  <si>
    <t>小1　12月　【S2】　指導ユニット　モジュール（現学年・ステップ）配当計画</t>
  </si>
  <si>
    <t>国語　b</t>
  </si>
  <si>
    <t>かたかなをかこう</t>
  </si>
  <si>
    <t>現学年</t>
  </si>
  <si>
    <t>a</t>
  </si>
  <si>
    <t>まのいいりょうし</t>
  </si>
  <si>
    <t>b</t>
  </si>
  <si>
    <t>国　語</t>
  </si>
  <si>
    <t>むかしばなしがいっぱい</t>
  </si>
  <si>
    <t>c</t>
  </si>
  <si>
    <t>算　数</t>
  </si>
  <si>
    <t>ともだちに、きいてみよう</t>
  </si>
  <si>
    <t>d</t>
  </si>
  <si>
    <t>数　学</t>
  </si>
  <si>
    <t>日づけとよう日</t>
  </si>
  <si>
    <t>e</t>
  </si>
  <si>
    <t>理　科</t>
  </si>
  <si>
    <t>ずうっと、ずっと、大すきだよ</t>
  </si>
  <si>
    <t>f</t>
  </si>
  <si>
    <t>社　会</t>
  </si>
  <si>
    <t>g</t>
  </si>
  <si>
    <t>図　工</t>
  </si>
  <si>
    <t>h</t>
  </si>
  <si>
    <t>音　楽</t>
  </si>
  <si>
    <t>小計【現学年】</t>
  </si>
  <si>
    <t>i</t>
  </si>
  <si>
    <t>家庭科</t>
  </si>
  <si>
    <t>かたかなをみつけよう（小1）</t>
  </si>
  <si>
    <t>ステップ</t>
  </si>
  <si>
    <t>j</t>
  </si>
  <si>
    <t>体　育</t>
  </si>
  <si>
    <t>k</t>
  </si>
  <si>
    <t>生活科</t>
  </si>
  <si>
    <t>l</t>
  </si>
  <si>
    <t>小計【ステップ】</t>
  </si>
  <si>
    <t>国語　モジュール　合計</t>
  </si>
  <si>
    <t>現</t>
  </si>
  <si>
    <t>入力用（半角入力）</t>
  </si>
  <si>
    <t>算数　c　  数学  d</t>
  </si>
  <si>
    <t>たすのかなひくのかな</t>
  </si>
  <si>
    <t>ス</t>
  </si>
  <si>
    <t>０の　たしざんとひきざん</t>
  </si>
  <si>
    <t>ものとひとのかず</t>
  </si>
  <si>
    <t>ふえたりへったり（小1）</t>
  </si>
  <si>
    <t>たしざん（小1）</t>
  </si>
  <si>
    <t>ひきざん（小1）</t>
  </si>
  <si>
    <t>算数/数学　モジュール　合計</t>
  </si>
  <si>
    <t xml:space="preserve"> 社会   f</t>
  </si>
  <si>
    <t>現学年　ステップ</t>
  </si>
  <si>
    <t>★　セルを範囲指定　『データ』→『データ種類の変換』→『値→文字列』</t>
  </si>
  <si>
    <t>学習用具・教科用語</t>
  </si>
  <si>
    <t>社会　モジュール　合計</t>
  </si>
  <si>
    <t>合計モジュール</t>
  </si>
  <si>
    <t xml:space="preserve"> 理科   e</t>
  </si>
  <si>
    <t>48 (ス-29 現-19)</t>
  </si>
  <si>
    <t>32 (ス-20 現-12)</t>
  </si>
  <si>
    <t>60 (ス-36 現-24)</t>
  </si>
  <si>
    <t>理科　モジュール　合計</t>
  </si>
  <si>
    <t>図工音楽体育など</t>
  </si>
  <si>
    <t>学習用具</t>
  </si>
  <si>
    <t>教科用語</t>
  </si>
  <si>
    <t>技能教科　モジュール　合計</t>
  </si>
  <si>
    <t>日本語　a</t>
  </si>
  <si>
    <t>日本の文化</t>
  </si>
  <si>
    <t>日本語能力試験</t>
  </si>
  <si>
    <t>語彙</t>
  </si>
  <si>
    <t>家庭生活</t>
  </si>
  <si>
    <t>学校生活</t>
  </si>
  <si>
    <t>日本語　モジュール　合計</t>
  </si>
  <si>
    <t>モジュール　合計</t>
  </si>
  <si>
    <t>空欄</t>
  </si>
  <si>
    <t>小1　12月　【S3】　指導ユニット　モジュール（現学年・ステップ）配当計画</t>
  </si>
  <si>
    <t>36 (ス-16 現-20)</t>
  </si>
  <si>
    <t>24 (ス-10 現-14)</t>
  </si>
  <si>
    <t>48 (ス-21 現-27)</t>
  </si>
  <si>
    <t>小1　12月　【S4】　指導ユニット　モジュール（現学年・ステップ）配当計画</t>
  </si>
  <si>
    <t>24 (ス-6 現-18)</t>
  </si>
  <si>
    <t>16 (ス-3 現-13)</t>
  </si>
  <si>
    <t>32 (ス-8 現-24)</t>
  </si>
  <si>
    <t>小2　12月　【S2】　指導ユニット　モジュール（現学年・ステップ）配当計画</t>
  </si>
  <si>
    <t>にたいみ、はんたいのいみのことば</t>
  </si>
  <si>
    <t>わたしはおねえさん</t>
  </si>
  <si>
    <t>かん字の広場④</t>
  </si>
  <si>
    <t>冬がいっぱい</t>
  </si>
  <si>
    <t>にている漢字（小1）</t>
  </si>
  <si>
    <t>かずとかんじ（小1）</t>
  </si>
  <si>
    <t>三角形と四角形</t>
  </si>
  <si>
    <t>いろいろなかたち（小1）</t>
  </si>
  <si>
    <t>小2　12月　【S3】　指導ユニット　モジュール（現学年・ステップ）配当計画</t>
  </si>
  <si>
    <t>小2　12月　【S4】　指導ユニット　モジュール（現学年・ステップ）配当計画</t>
  </si>
  <si>
    <t>小3　12月　【S2】　指導ユニット　モジュール（現学年・ステップ）配当計画</t>
  </si>
  <si>
    <t>たから島のぼうけん</t>
  </si>
  <si>
    <t>漢字の広場⑤</t>
  </si>
  <si>
    <t>言葉を分類する</t>
  </si>
  <si>
    <t>冬の楽しみ</t>
  </si>
  <si>
    <t>かんさつ名人になろう（小2）</t>
  </si>
  <si>
    <t>漢字の広場⑤（小2）</t>
  </si>
  <si>
    <t>ものの名前（小1）</t>
  </si>
  <si>
    <t>冬がいっぱい（小2）</t>
  </si>
  <si>
    <t>分数</t>
  </si>
  <si>
    <t>べつべつに、いっしょに</t>
  </si>
  <si>
    <t>計算のきまり</t>
  </si>
  <si>
    <t>分数（小2）</t>
  </si>
  <si>
    <t>かくれた数はいくつ（小2）</t>
  </si>
  <si>
    <t>計算のじゅんじょ（小2）</t>
  </si>
  <si>
    <t>はたらく人とわたしたちのくらし</t>
  </si>
  <si>
    <t>理科・社会</t>
  </si>
  <si>
    <t>ものの重さをしらべよう</t>
  </si>
  <si>
    <t>32 (ス-19 現-13)</t>
  </si>
  <si>
    <t>８モジュール（ステップ－４：現学年－４）</t>
  </si>
  <si>
    <t>60 (ス-35 現-25)</t>
  </si>
  <si>
    <t>小3　12月　【S3】　指導ユニット　モジュール（現学年・ステップ）配当計画</t>
  </si>
  <si>
    <t>36 (ス-14 現-22)</t>
  </si>
  <si>
    <t>８モジュール（ステップ－３：現学年－５）</t>
  </si>
  <si>
    <t>48 (ス-20 現-28)</t>
  </si>
  <si>
    <t>小3　12月　【S4】　指導ユニット　モジュール（現学年・ステップ）配当計画</t>
  </si>
  <si>
    <t>小4　12月　【S2】　指導ユニット　モジュール（現学年・ステップ）配当計画</t>
  </si>
  <si>
    <t>短歌・俳句に親しもう</t>
  </si>
  <si>
    <t>プラタナスの木</t>
  </si>
  <si>
    <t>漢字の広場④</t>
  </si>
  <si>
    <t>文と文をつなぐ言葉</t>
  </si>
  <si>
    <t>俳句を楽しもう（小3）</t>
  </si>
  <si>
    <t>短歌を楽しもう（小3）</t>
  </si>
  <si>
    <t>つなぎ言葉（小2）</t>
  </si>
  <si>
    <t>小数のかけ算</t>
  </si>
  <si>
    <t>小数のわり算</t>
  </si>
  <si>
    <t>小数（小3）</t>
  </si>
  <si>
    <t>わたしたちの県</t>
  </si>
  <si>
    <t>もののあたたまり方</t>
  </si>
  <si>
    <t>小4　12月　【S3】　指導ユニット　モジュール（現学年・ステップ）配当計画</t>
  </si>
  <si>
    <t>小4　12月　【S4】　指導ユニット　モジュール（現学年・ステップ）配当計画</t>
  </si>
  <si>
    <t>小5　12月　【S2】　指導ユニット　モジュール（現学年・ステップ）配当計画</t>
  </si>
  <si>
    <t>同じ読み方の漢字</t>
  </si>
  <si>
    <t>百年後のふるさとを守る</t>
  </si>
  <si>
    <t>古典の世界（二）</t>
  </si>
  <si>
    <t>分かりやすく伝える</t>
  </si>
  <si>
    <t>まちがえやすい漢字（小4）</t>
  </si>
  <si>
    <t>アップとルーズで伝える（小4）</t>
  </si>
  <si>
    <t>分数のかけ算とわり算</t>
  </si>
  <si>
    <t>分数と小数の関係</t>
  </si>
  <si>
    <t>見積もりを使って</t>
  </si>
  <si>
    <t>順々に調べて</t>
  </si>
  <si>
    <t>分数（小4）</t>
  </si>
  <si>
    <t>小数（小4）</t>
  </si>
  <si>
    <t>がい数とその計算（小4）</t>
  </si>
  <si>
    <t>情報化社会とわたしたちの生活</t>
  </si>
  <si>
    <t>電磁石の性質</t>
  </si>
  <si>
    <t>小5　12月　【S3】　指導ユニット　モジュール（現学年・ステップ）配当計画</t>
  </si>
  <si>
    <t>小5　12月　【S4】　指導ユニット　モジュール（現学年・ステップ）配当計画</t>
  </si>
  <si>
    <t>小6　12月　【S2】　指導ユニット　モジュール（現学年・ステップ）配当計画</t>
  </si>
  <si>
    <t>日本で使う文字</t>
  </si>
  <si>
    <t>表現を選ぶ</t>
  </si>
  <si>
    <t>天地の文</t>
  </si>
  <si>
    <t>和語・漢語・外来語</t>
  </si>
  <si>
    <t>古典の世界（一）（小5）</t>
  </si>
  <si>
    <t>古典の世界（二）（小5）</t>
  </si>
  <si>
    <t>場合を順序よく整理して</t>
  </si>
  <si>
    <t>順々に調べて（小5）</t>
  </si>
  <si>
    <t>わたしたちの願いを実現する政治</t>
  </si>
  <si>
    <t>てこのはたらき</t>
  </si>
  <si>
    <t>小6　12月　【S3】　指導ユニット　モジュール（現学年・ステップ）配当計画</t>
  </si>
  <si>
    <t>小6　12月　【S4】　指導ユニット　モジュール（現学年・ステップ）配当計画</t>
  </si>
  <si>
    <t>中1　12月　【S2】　指導ユニット　モジュール（現学年・ステップ）配当計画</t>
  </si>
  <si>
    <t>感じたことを整理する</t>
  </si>
  <si>
    <t>鑑賞文を書く</t>
  </si>
  <si>
    <t>竹</t>
  </si>
  <si>
    <t>言葉の関係を考えよう</t>
  </si>
  <si>
    <t>桜守三代</t>
  </si>
  <si>
    <t>本の世界を広げよう</t>
  </si>
  <si>
    <t>季節のしおり　冬</t>
  </si>
  <si>
    <t>単文・複文・重文（小5）</t>
  </si>
  <si>
    <t>文・文節（小4）</t>
  </si>
  <si>
    <t>平面図形 基本の作図</t>
  </si>
  <si>
    <t>円とおうぎ形</t>
  </si>
  <si>
    <t>三角形と四角形（小2）</t>
  </si>
  <si>
    <t>円と球（小3）</t>
  </si>
  <si>
    <t>三角形（小3）</t>
  </si>
  <si>
    <t>円と正多角形（小5）</t>
  </si>
  <si>
    <t>北アメリカ州</t>
  </si>
  <si>
    <t>南アメリカ州</t>
  </si>
  <si>
    <t>算数/数学</t>
  </si>
  <si>
    <t>力と圧力</t>
  </si>
  <si>
    <t>中1　12月　【S3】　指導ユニット　モジュール（現学年・ステップ）配当計画</t>
  </si>
  <si>
    <t>中1　12月　【S4】　指導ユニット　モジュール（現学年・ステップ）配当計画</t>
  </si>
  <si>
    <t>中2　12月　【S2】　指導ユニット　モジュール（現学年・ステップ）配当計画</t>
  </si>
  <si>
    <t>意見文の説得力を考える</t>
  </si>
  <si>
    <t>根拠を明確にして意見を書こう</t>
  </si>
  <si>
    <t>落葉松</t>
  </si>
  <si>
    <t>走る。走らない。走ろうよ。</t>
  </si>
  <si>
    <t>小さな町のラジオ発</t>
  </si>
  <si>
    <t>動詞の働き・種類・形の変化（小4）</t>
  </si>
  <si>
    <t>言葉の種類　動詞（小6）</t>
  </si>
  <si>
    <t>図形の性質と証明 三角形</t>
  </si>
  <si>
    <t>面積（小4）</t>
  </si>
  <si>
    <t>面積（小5）</t>
  </si>
  <si>
    <t>明治維新</t>
  </si>
  <si>
    <t>電流と磁界</t>
  </si>
  <si>
    <t>電流の正体</t>
  </si>
  <si>
    <t>中2　12月　【S3】　指導ユニット　モジュール（現学年・ステップ）配当計画</t>
  </si>
  <si>
    <t>中2　12月　【S4】　指導ユニット　モジュール（現学年・ステップ）配当計画</t>
  </si>
  <si>
    <t>中3　12月　【S2】　指導ユニット　モジュール（現学年・ステップ）配当計画</t>
  </si>
  <si>
    <t>初恋</t>
  </si>
  <si>
    <t>「ない」の違いがわからない？</t>
  </si>
  <si>
    <t>エルサルバドルの少女　ヘスース</t>
  </si>
  <si>
    <t>読書記録をつける</t>
  </si>
  <si>
    <t>円周角と中心角</t>
  </si>
  <si>
    <t>円の性質の利用</t>
  </si>
  <si>
    <t>円の面積（小6）</t>
  </si>
  <si>
    <t>消費生活と経済</t>
  </si>
  <si>
    <t>政府の役割と国民の福祉</t>
  </si>
  <si>
    <t>天体の１日の動き</t>
  </si>
  <si>
    <t>天体の１年の動き</t>
  </si>
  <si>
    <t>中3　12月　【S3】　指導ユニット　モジュール（現学年・ステップ）配当計画</t>
  </si>
  <si>
    <t>中3　12月　【S4】　指導ユニット　モジュール（現学年・ステップ）配当計画</t>
  </si>
  <si>
    <t>● 岩倉日本語指導方式</t>
    <phoneticPr fontId="39"/>
  </si>
  <si>
    <r>
      <t>　　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9"/>
  </si>
  <si>
    <r>
      <t>　　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9"/>
  </si>
  <si>
    <r>
      <t>　　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　　</t>
    </r>
    <phoneticPr fontId="39"/>
  </si>
  <si>
    <r>
      <t>　　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39"/>
  </si>
  <si>
    <r>
      <t xml:space="preserve">  </t>
    </r>
    <r>
      <rPr>
        <b/>
        <sz val="20"/>
        <rFont val="ＤＦＰ教科書体W3"/>
        <family val="1"/>
        <charset val="128"/>
      </rPr>
      <t>　標準</t>
    </r>
    <r>
      <rPr>
        <b/>
        <sz val="20"/>
        <rFont val="ＤＦＰ教科書体W3"/>
        <family val="1"/>
        <charset val="128"/>
      </rPr>
      <t xml:space="preserve"> </t>
    </r>
    <r>
      <rPr>
        <b/>
        <sz val="20"/>
        <rFont val="ＤＦＰ教科書体W3"/>
        <family val="1"/>
        <charset val="128"/>
      </rPr>
      <t>指導ユニット・モジュール（現学年・ステップ）配当計画　</t>
    </r>
    <r>
      <rPr>
        <b/>
        <sz val="20"/>
        <rFont val="ＤＦＰ教科書体W3"/>
        <family val="1"/>
        <charset val="128"/>
      </rPr>
      <t>12月</t>
    </r>
    <rPh sb="35" eb="36">
      <t>ガツ</t>
    </rPh>
    <phoneticPr fontId="39"/>
  </si>
  <si>
    <r>
      <t>　　　　　　　</t>
    </r>
    <r>
      <rPr>
        <sz val="13"/>
        <rFont val="ＤＦＰ教科書体W3"/>
        <family val="1"/>
        <charset val="128"/>
      </rPr>
      <t>ステップ指導内容　：　現在の学年学習内容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  <phoneticPr fontId="39"/>
  </si>
  <si>
    <t>30モジュール（ス－18：現－12）</t>
    <phoneticPr fontId="39"/>
  </si>
  <si>
    <t>14モジュール（ス－8：現－6）</t>
    <phoneticPr fontId="39"/>
  </si>
  <si>
    <t xml:space="preserve"> 4モジュール（ス－3：現－1）</t>
    <phoneticPr fontId="39"/>
  </si>
  <si>
    <t>21モジュール（ス－9：現－12）</t>
    <phoneticPr fontId="39"/>
  </si>
  <si>
    <t>11モジュール（ス－5：現－6）</t>
    <phoneticPr fontId="39"/>
  </si>
  <si>
    <t xml:space="preserve"> 4モジュール（ス－2：現－2）</t>
    <phoneticPr fontId="39"/>
  </si>
  <si>
    <t>図工・音楽・体育・(家庭科)</t>
    <phoneticPr fontId="39"/>
  </si>
  <si>
    <t>図工・音楽・体育・生活科</t>
  </si>
  <si>
    <t>図工・音楽・体育</t>
  </si>
  <si>
    <t>１４モジュール（ス－３：現－１１）</t>
  </si>
  <si>
    <t>７モジュール（ス－２：現－５）</t>
  </si>
  <si>
    <t>３モジュール（ス－１：現－２）</t>
  </si>
  <si>
    <t>２７モジュール（ス－１６：現－１１）</t>
  </si>
  <si>
    <t>１２モジュール（ス－７：現－５）</t>
  </si>
  <si>
    <t>３モジュール（ス－２：現－１）</t>
  </si>
  <si>
    <t>６モジュール（ス－４：現－２）</t>
  </si>
  <si>
    <t>１８モジュール（ス－７：現－１１）</t>
  </si>
  <si>
    <t>９モジュール（ス－４：現－５）</t>
  </si>
  <si>
    <t>６モジュール（ス－２：現－４）</t>
  </si>
  <si>
    <t>９モジュール（ス－２：現－７）</t>
  </si>
  <si>
    <t>６モジュール（ス－１：現－５）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</si>
</sst>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0.5"/>
      <name val="ＭＳ 明朝"/>
      <charset val="128"/>
    </font>
    <font>
      <b/>
      <sz val="17"/>
      <name val="ＤＦＰ教科書体W3"/>
      <family val="1"/>
      <charset val="128"/>
    </font>
    <font>
      <b/>
      <sz val="22"/>
      <name val="ＤＦＰ教科書体W3"/>
      <family val="1"/>
      <charset val="128"/>
    </font>
    <font>
      <b/>
      <sz val="36"/>
      <name val="ＤＦＰ教科書体W3"/>
      <family val="1"/>
      <charset val="128"/>
    </font>
    <font>
      <b/>
      <sz val="20"/>
      <name val="ＤＦＰ教科書体W3"/>
      <family val="1"/>
      <charset val="128"/>
    </font>
    <font>
      <sz val="13"/>
      <name val="ＤＦＰ教科書体W3"/>
      <family val="1"/>
      <charset val="128"/>
    </font>
    <font>
      <sz val="13"/>
      <name val="ＭＳ Ｐゴシック"/>
      <family val="2"/>
      <charset val="128"/>
    </font>
    <font>
      <b/>
      <sz val="13"/>
      <color rgb="FF0000FF"/>
      <name val="ＭＳ Ｐゴシック"/>
      <family val="2"/>
      <charset val="128"/>
    </font>
    <font>
      <sz val="13"/>
      <name val="ＭＳ 明朝"/>
      <family val="1"/>
      <charset val="128"/>
    </font>
    <font>
      <sz val="13"/>
      <color rgb="FFFF0000"/>
      <name val="ＤＦＰ教科書体W3"/>
      <family val="1"/>
      <charset val="128"/>
    </font>
    <font>
      <sz val="13"/>
      <color rgb="FFFF0000"/>
      <name val="ＭＳ 明朝"/>
      <family val="1"/>
      <charset val="128"/>
    </font>
    <font>
      <b/>
      <sz val="16"/>
      <color rgb="FFFF00FF"/>
      <name val="ＤＦＰ教科書体W3"/>
      <family val="1"/>
      <charset val="128"/>
    </font>
    <font>
      <b/>
      <sz val="16"/>
      <color rgb="FFFF0000"/>
      <name val="ＤＦＰ教科書体W3"/>
      <family val="1"/>
      <charset val="128"/>
    </font>
    <font>
      <b/>
      <sz val="16"/>
      <name val="ＤＦＰ教科書体W3"/>
      <family val="1"/>
      <charset val="128"/>
    </font>
    <font>
      <b/>
      <sz val="12"/>
      <name val="ＤＦＰ教科書体W3"/>
      <family val="1"/>
      <charset val="128"/>
    </font>
    <font>
      <b/>
      <sz val="11"/>
      <color rgb="FFFF0000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6"/>
      <color rgb="FFFF9900"/>
      <name val="ＤＦＰ教科書体W3"/>
      <family val="1"/>
      <charset val="128"/>
    </font>
    <font>
      <b/>
      <sz val="16"/>
      <color rgb="FF008080"/>
      <name val="ＤＦＰ教科書体W3"/>
      <family val="1"/>
      <charset val="128"/>
    </font>
    <font>
      <b/>
      <sz val="16"/>
      <color rgb="FF0000FF"/>
      <name val="ＤＦＰ教科書体W3"/>
      <family val="1"/>
      <charset val="128"/>
    </font>
    <font>
      <b/>
      <sz val="10.5"/>
      <name val="ＤＦＰ教科書体W3"/>
      <family val="1"/>
      <charset val="128"/>
    </font>
    <font>
      <sz val="10.5"/>
      <name val="ＭＳ Ｐゴシック"/>
      <family val="2"/>
      <charset val="128"/>
    </font>
    <font>
      <b/>
      <sz val="14"/>
      <color rgb="FFFF00FF"/>
      <name val="ＤＦＰ教科書体W3"/>
      <family val="1"/>
      <charset val="128"/>
    </font>
    <font>
      <b/>
      <sz val="14"/>
      <color rgb="FFFF9900"/>
      <name val="ＤＦＰ教科書体W3"/>
      <family val="1"/>
      <charset val="128"/>
    </font>
    <font>
      <b/>
      <sz val="14"/>
      <color rgb="FF008080"/>
      <name val="ＤＦＰ教科書体W3"/>
      <family val="1"/>
      <charset val="128"/>
    </font>
    <font>
      <b/>
      <sz val="14"/>
      <color rgb="FF0000FF"/>
      <name val="ＤＦＰ教科書体W3"/>
      <family val="1"/>
      <charset val="128"/>
    </font>
    <font>
      <b/>
      <sz val="14"/>
      <color rgb="FFFF9933"/>
      <name val="ＤＦＰ教科書体W3"/>
      <family val="1"/>
      <charset val="128"/>
    </font>
    <font>
      <b/>
      <sz val="14"/>
      <color rgb="FF008000"/>
      <name val="ＤＦＰ教科書体W3"/>
      <family val="1"/>
      <charset val="128"/>
    </font>
    <font>
      <b/>
      <sz val="13"/>
      <name val="ＭＳ 明朝"/>
      <family val="1"/>
      <charset val="128"/>
    </font>
    <font>
      <b/>
      <sz val="15"/>
      <name val="ＭＳ 明朝"/>
      <family val="1"/>
      <charset val="128"/>
    </font>
    <font>
      <sz val="9"/>
      <name val="ＤＦＰ教科書体W3"/>
      <family val="1"/>
      <charset val="128"/>
    </font>
    <font>
      <b/>
      <sz val="13"/>
      <name val="ＤＦＰ教科書体W3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ＤＦＰ教科書体W3"/>
      <family val="1"/>
      <charset val="128"/>
    </font>
    <font>
      <sz val="12"/>
      <name val="ＭＳ 明朝"/>
      <family val="1"/>
      <charset val="128"/>
    </font>
    <font>
      <sz val="10.5"/>
      <name val="ＤＦＰ教科書体W3"/>
      <family val="1"/>
      <charset val="128"/>
    </font>
    <font>
      <b/>
      <sz val="13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20"/>
      <name val="ＤＦＰ教科書体W3"/>
      <family val="1"/>
      <charset val="128"/>
    </font>
    <font>
      <sz val="13"/>
      <name val="ＭＳ 明朝"/>
      <family val="1"/>
      <charset val="128"/>
    </font>
    <font>
      <sz val="13"/>
      <name val="ＤＦＰ教科書体W3"/>
      <family val="1"/>
      <charset val="128"/>
    </font>
    <font>
      <b/>
      <sz val="14"/>
      <color rgb="FF008080"/>
      <name val="ＤＦＧ教科書体W3"/>
      <family val="1"/>
      <charset val="128"/>
    </font>
    <font>
      <sz val="12"/>
      <name val="ＤＦＧ教科書体W3"/>
      <family val="1"/>
      <charset val="128"/>
    </font>
    <font>
      <sz val="10.5"/>
      <name val="ＤＦＧ教科書体W3"/>
      <family val="1"/>
      <charset val="128"/>
    </font>
    <font>
      <b/>
      <sz val="10.5"/>
      <name val="ＤＦＧ教科書体W3"/>
      <family val="1"/>
      <charset val="128"/>
    </font>
    <font>
      <sz val="13"/>
      <name val="ＤＦＧ教科書体W3"/>
      <family val="1"/>
      <charset val="128"/>
    </font>
    <font>
      <b/>
      <sz val="14"/>
      <color rgb="FF0000FF"/>
      <name val="ＤＦＧ教科書体W3"/>
      <family val="1"/>
      <charset val="128"/>
    </font>
    <font>
      <b/>
      <sz val="14"/>
      <color rgb="FFFF9933"/>
      <name val="ＤＦＧ教科書体W3"/>
      <family val="1"/>
      <charset val="128"/>
    </font>
    <font>
      <b/>
      <sz val="14"/>
      <color rgb="FF008000"/>
      <name val="ＤＦＧ教科書体W3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00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rgb="FFCCFF99"/>
      </patternFill>
    </fill>
    <fill>
      <patternFill patternType="solid">
        <fgColor rgb="FF99FF99"/>
      </patternFill>
    </fill>
    <fill>
      <patternFill patternType="solid">
        <fgColor rgb="FFFFCCFF"/>
      </patternFill>
    </fill>
    <fill>
      <patternFill patternType="solid">
        <fgColor rgb="FFCCCCCC"/>
      </patternFill>
    </fill>
    <fill>
      <patternFill patternType="solid">
        <fgColor rgb="FFFFCC66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 style="slantDashDot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slantDashDot">
        <color theme="1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slantDashDot">
        <color theme="1"/>
      </right>
      <top style="slantDashDot">
        <color rgb="FF000000"/>
      </top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theme="1"/>
      </right>
      <top/>
      <bottom style="slantDashDot">
        <color rgb="FF000000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5" fillId="0" borderId="9" xfId="0" applyFont="1" applyBorder="1"/>
    <xf numFmtId="0" fontId="0" fillId="0" borderId="0" xfId="0" applyAlignment="1">
      <alignment horizontal="left"/>
    </xf>
    <xf numFmtId="0" fontId="8" fillId="0" borderId="9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11" fillId="0" borderId="0" xfId="0" applyFont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0" xfId="0" applyFont="1" applyBorder="1" applyAlignment="1">
      <alignment horizontal="left"/>
    </xf>
    <xf numFmtId="0" fontId="14" fillId="0" borderId="10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0" xfId="0" applyFont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6" fillId="3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/>
    <xf numFmtId="0" fontId="16" fillId="4" borderId="1" xfId="0" applyFont="1" applyFill="1" applyBorder="1" applyAlignment="1">
      <alignment horizontal="center"/>
    </xf>
    <xf numFmtId="0" fontId="19" fillId="0" borderId="0" xfId="0" applyFont="1"/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/>
    <xf numFmtId="0" fontId="20" fillId="0" borderId="2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0" fontId="12" fillId="0" borderId="0" xfId="0" applyFont="1"/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6" fillId="0" borderId="0" xfId="0" applyFont="1"/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0" fontId="16" fillId="0" borderId="1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16" fillId="2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3" fillId="0" borderId="0" xfId="0" applyFont="1"/>
    <xf numFmtId="0" fontId="16" fillId="3" borderId="4" xfId="0" applyFont="1" applyFill="1" applyBorder="1" applyAlignment="1">
      <alignment horizontal="center"/>
    </xf>
    <xf numFmtId="0" fontId="24" fillId="0" borderId="0" xfId="0" applyFont="1"/>
    <xf numFmtId="0" fontId="16" fillId="4" borderId="4" xfId="0" applyFont="1" applyFill="1" applyBorder="1" applyAlignment="1">
      <alignment horizontal="center"/>
    </xf>
    <xf numFmtId="0" fontId="25" fillId="0" borderId="0" xfId="0" applyFont="1"/>
    <xf numFmtId="0" fontId="16" fillId="5" borderId="4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0" fillId="4" borderId="1" xfId="0" applyFill="1" applyBorder="1"/>
    <xf numFmtId="0" fontId="34" fillId="0" borderId="4" xfId="0" applyFont="1" applyBorder="1"/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8" borderId="1" xfId="0" applyFill="1" applyBorder="1" applyAlignment="1">
      <alignment horizontal="center"/>
    </xf>
    <xf numFmtId="0" fontId="0" fillId="0" borderId="4" xfId="0" applyBorder="1"/>
    <xf numFmtId="0" fontId="34" fillId="0" borderId="0" xfId="0" applyFont="1" applyAlignment="1">
      <alignment horizontal="center"/>
    </xf>
    <xf numFmtId="0" fontId="0" fillId="0" borderId="10" xfId="0" applyBorder="1"/>
    <xf numFmtId="0" fontId="0" fillId="4" borderId="10" xfId="0" applyFill="1" applyBorder="1"/>
    <xf numFmtId="0" fontId="0" fillId="0" borderId="11" xfId="0" applyBorder="1"/>
    <xf numFmtId="0" fontId="0" fillId="8" borderId="10" xfId="0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0" borderId="10" xfId="0" applyFont="1" applyBorder="1" applyAlignment="1">
      <alignment horizontal="center"/>
    </xf>
    <xf numFmtId="0" fontId="34" fillId="0" borderId="10" xfId="0" applyFont="1" applyBorder="1"/>
    <xf numFmtId="0" fontId="34" fillId="0" borderId="11" xfId="0" applyFont="1" applyBorder="1"/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0" fillId="0" borderId="10" xfId="0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9" borderId="10" xfId="0" applyFill="1" applyBorder="1" applyAlignment="1">
      <alignment horizontal="center"/>
    </xf>
    <xf numFmtId="0" fontId="0" fillId="9" borderId="11" xfId="0" applyFill="1" applyBorder="1"/>
    <xf numFmtId="0" fontId="35" fillId="8" borderId="1" xfId="0" applyFont="1" applyFill="1" applyBorder="1" applyAlignment="1">
      <alignment horizontal="center"/>
    </xf>
    <xf numFmtId="0" fontId="35" fillId="4" borderId="4" xfId="0" applyFont="1" applyFill="1" applyBorder="1"/>
    <xf numFmtId="0" fontId="35" fillId="3" borderId="4" xfId="0" applyFont="1" applyFill="1" applyBorder="1"/>
    <xf numFmtId="0" fontId="35" fillId="8" borderId="10" xfId="0" applyFont="1" applyFill="1" applyBorder="1" applyAlignment="1">
      <alignment horizontal="center"/>
    </xf>
    <xf numFmtId="0" fontId="35" fillId="4" borderId="11" xfId="0" applyFont="1" applyFill="1" applyBorder="1"/>
    <xf numFmtId="0" fontId="35" fillId="3" borderId="11" xfId="0" applyFont="1" applyFill="1" applyBorder="1"/>
    <xf numFmtId="0" fontId="35" fillId="9" borderId="1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1" xfId="0" applyFont="1" applyBorder="1" applyAlignment="1">
      <alignment horizontal="center"/>
    </xf>
    <xf numFmtId="0" fontId="0" fillId="0" borderId="12" xfId="0" applyBorder="1"/>
    <xf numFmtId="0" fontId="35" fillId="0" borderId="10" xfId="0" applyFont="1" applyBorder="1" applyAlignment="1">
      <alignment horizontal="center"/>
    </xf>
    <xf numFmtId="0" fontId="35" fillId="0" borderId="11" xfId="0" applyFont="1" applyBorder="1"/>
    <xf numFmtId="0" fontId="0" fillId="5" borderId="1" xfId="0" applyFill="1" applyBorder="1"/>
    <xf numFmtId="0" fontId="0" fillId="5" borderId="10" xfId="0" applyFill="1" applyBorder="1"/>
    <xf numFmtId="0" fontId="35" fillId="0" borderId="2" xfId="0" applyFont="1" applyBorder="1"/>
    <xf numFmtId="0" fontId="35" fillId="0" borderId="2" xfId="0" applyFont="1" applyBorder="1" applyAlignment="1">
      <alignment horizontal="left"/>
    </xf>
    <xf numFmtId="0" fontId="37" fillId="0" borderId="0" xfId="0" applyFont="1"/>
    <xf numFmtId="0" fontId="38" fillId="3" borderId="1" xfId="0" applyFont="1" applyFill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8" fillId="3" borderId="11" xfId="0" applyFont="1" applyFill="1" applyBorder="1" applyAlignment="1">
      <alignment horizontal="center"/>
    </xf>
    <xf numFmtId="0" fontId="0" fillId="10" borderId="1" xfId="0" applyFill="1" applyBorder="1"/>
    <xf numFmtId="0" fontId="0" fillId="0" borderId="1" xfId="0" applyBorder="1" applyAlignment="1">
      <alignment horizont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30" fillId="7" borderId="1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7" borderId="10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31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0" xfId="0" applyFont="1" applyAlignment="1">
      <alignment horizontal="left" vertical="center" shrinkToFit="1"/>
    </xf>
    <xf numFmtId="0" fontId="0" fillId="0" borderId="2" xfId="0" applyBorder="1" applyAlignment="1">
      <alignment shrinkToFit="1"/>
    </xf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8" fillId="0" borderId="0" xfId="0" applyFont="1" applyBorder="1" applyAlignment="1">
      <alignment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7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2" xfId="0" applyFont="1" applyBorder="1" applyAlignment="1">
      <alignment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5" fillId="0" borderId="9" xfId="0" applyFont="1" applyBorder="1"/>
    <xf numFmtId="0" fontId="0" fillId="0" borderId="0" xfId="0"/>
    <xf numFmtId="0" fontId="0" fillId="0" borderId="0" xfId="0" applyAlignment="1">
      <alignment horizontal="left"/>
    </xf>
    <xf numFmtId="0" fontId="5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2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 applyAlignment="1">
      <alignment vertical="center" wrapText="1"/>
    </xf>
    <xf numFmtId="0" fontId="32" fillId="5" borderId="1" xfId="0" applyFont="1" applyFill="1" applyBorder="1" applyAlignment="1">
      <alignment horizontal="center"/>
    </xf>
    <xf numFmtId="0" fontId="32" fillId="5" borderId="4" xfId="0" applyFont="1" applyFill="1" applyBorder="1"/>
    <xf numFmtId="0" fontId="32" fillId="5" borderId="4" xfId="0" applyFont="1" applyFill="1" applyBorder="1" applyAlignment="1">
      <alignment horizontal="left"/>
    </xf>
    <xf numFmtId="0" fontId="36" fillId="0" borderId="10" xfId="0" applyFont="1" applyBorder="1"/>
    <xf numFmtId="0" fontId="15" fillId="0" borderId="1" xfId="0" applyFont="1" applyBorder="1" applyAlignment="1">
      <alignment horizontal="center"/>
    </xf>
    <xf numFmtId="0" fontId="0" fillId="0" borderId="4" xfId="0" applyBorder="1"/>
    <xf numFmtId="0" fontId="16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" xfId="0" applyBorder="1"/>
    <xf numFmtId="0" fontId="16" fillId="4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>
      <alignment horizontal="left"/>
    </xf>
    <xf numFmtId="0" fontId="0" fillId="4" borderId="4" xfId="0" applyFill="1" applyBorder="1"/>
    <xf numFmtId="0" fontId="0" fillId="4" borderId="4" xfId="0" applyFill="1" applyBorder="1" applyAlignment="1">
      <alignment horizontal="left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9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4" fillId="3" borderId="14" xfId="0" applyFont="1" applyFill="1" applyBorder="1" applyAlignment="1">
      <alignment horizontal="center" vertical="center"/>
    </xf>
    <xf numFmtId="0" fontId="44" fillId="3" borderId="15" xfId="0" applyFont="1" applyFill="1" applyBorder="1" applyAlignment="1">
      <alignment horizontal="center" vertical="center"/>
    </xf>
    <xf numFmtId="0" fontId="44" fillId="3" borderId="16" xfId="0" applyFont="1" applyFill="1" applyBorder="1" applyAlignment="1">
      <alignment horizontal="center" vertical="center"/>
    </xf>
    <xf numFmtId="0" fontId="46" fillId="3" borderId="14" xfId="0" applyFont="1" applyFill="1" applyBorder="1" applyAlignment="1">
      <alignment horizontal="center" vertical="center"/>
    </xf>
    <xf numFmtId="0" fontId="46" fillId="3" borderId="15" xfId="0" applyFont="1" applyFill="1" applyBorder="1" applyAlignment="1">
      <alignment horizontal="center" vertical="center"/>
    </xf>
    <xf numFmtId="0" fontId="46" fillId="3" borderId="16" xfId="0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 shrinkToFit="1"/>
    </xf>
    <xf numFmtId="0" fontId="44" fillId="0" borderId="18" xfId="0" applyFont="1" applyBorder="1" applyAlignment="1">
      <alignment horizontal="center" vertical="center" shrinkToFit="1"/>
    </xf>
    <xf numFmtId="0" fontId="44" fillId="0" borderId="19" xfId="0" applyFont="1" applyBorder="1" applyAlignment="1">
      <alignment horizontal="center" vertical="center" shrinkToFit="1"/>
    </xf>
    <xf numFmtId="0" fontId="46" fillId="0" borderId="17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6" fillId="0" borderId="19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44" fillId="4" borderId="14" xfId="0" applyFont="1" applyFill="1" applyBorder="1" applyAlignment="1">
      <alignment horizontal="center" vertical="center"/>
    </xf>
    <xf numFmtId="0" fontId="44" fillId="4" borderId="15" xfId="0" applyFont="1" applyFill="1" applyBorder="1" applyAlignment="1">
      <alignment horizontal="center" vertical="center"/>
    </xf>
    <xf numFmtId="0" fontId="44" fillId="4" borderId="16" xfId="0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0" fontId="44" fillId="5" borderId="14" xfId="0" applyFont="1" applyFill="1" applyBorder="1" applyAlignment="1">
      <alignment horizontal="center" vertical="center"/>
    </xf>
    <xf numFmtId="0" fontId="44" fillId="5" borderId="15" xfId="0" applyFont="1" applyFill="1" applyBorder="1" applyAlignment="1">
      <alignment horizontal="center" vertical="center"/>
    </xf>
    <xf numFmtId="0" fontId="44" fillId="5" borderId="16" xfId="0" applyFont="1" applyFill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19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2" fillId="0" borderId="9" xfId="0" applyFont="1" applyBorder="1" applyAlignment="1">
      <alignment vertical="center"/>
    </xf>
    <xf numFmtId="0" fontId="41" fillId="0" borderId="9" xfId="0" applyFont="1" applyBorder="1" applyAlignment="1">
      <alignment vertical="center"/>
    </xf>
    <xf numFmtId="0" fontId="41" fillId="0" borderId="2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defaultGridColor="0" topLeftCell="A7" colorId="22" zoomScale="92" zoomScaleNormal="92" workbookViewId="0">
      <selection activeCell="J34" sqref="J34"/>
    </sheetView>
  </sheetViews>
  <sheetFormatPr defaultColWidth="10.85546875" defaultRowHeight="13.7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172" t="s">
        <v>3</v>
      </c>
      <c r="E8" s="173"/>
      <c r="F8" s="173"/>
      <c r="G8" s="173"/>
      <c r="H8" s="9"/>
    </row>
    <row r="9" spans="2:8" ht="14.65" customHeight="1" x14ac:dyDescent="0.15">
      <c r="B9" s="172" t="s">
        <v>4</v>
      </c>
      <c r="C9" s="174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172" t="s">
        <v>9</v>
      </c>
      <c r="C10" s="175"/>
      <c r="D10" s="10"/>
      <c r="E10" s="10"/>
      <c r="F10" s="10"/>
      <c r="G10" s="10"/>
      <c r="H10" s="9"/>
    </row>
    <row r="11" spans="2:8" ht="14.65" customHeight="1" x14ac:dyDescent="0.15">
      <c r="B11" s="176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177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177"/>
      <c r="C13" s="16" t="s">
        <v>17</v>
      </c>
      <c r="D13" s="17" t="s">
        <v>18</v>
      </c>
      <c r="E13" s="17" t="s">
        <v>19</v>
      </c>
      <c r="F13" s="17" t="s">
        <v>13</v>
      </c>
      <c r="G13" s="17" t="s">
        <v>20</v>
      </c>
      <c r="H13" s="9"/>
    </row>
    <row r="14" spans="2:8" ht="14.65" customHeight="1" x14ac:dyDescent="0.15">
      <c r="B14" s="177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178" t="s">
        <v>24</v>
      </c>
      <c r="C15" s="175"/>
      <c r="D15" s="174"/>
      <c r="E15" s="174"/>
      <c r="F15" s="174"/>
      <c r="G15" s="174"/>
      <c r="H15" s="9"/>
    </row>
    <row r="16" spans="2:8" ht="14.65" customHeight="1" x14ac:dyDescent="0.15">
      <c r="B16" s="176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177"/>
      <c r="C17" s="16" t="s">
        <v>27</v>
      </c>
      <c r="D17" s="17" t="s">
        <v>18</v>
      </c>
      <c r="E17" s="17" t="s">
        <v>19</v>
      </c>
      <c r="F17" s="17" t="s">
        <v>13</v>
      </c>
      <c r="G17" s="17" t="s">
        <v>20</v>
      </c>
      <c r="H17" s="9"/>
    </row>
    <row r="18" spans="2:8" ht="14.65" customHeight="1" x14ac:dyDescent="0.15">
      <c r="B18" s="177"/>
      <c r="C18" s="16" t="s">
        <v>28</v>
      </c>
      <c r="D18" s="17" t="s">
        <v>18</v>
      </c>
      <c r="E18" s="17" t="s">
        <v>19</v>
      </c>
      <c r="F18" s="17" t="s">
        <v>13</v>
      </c>
      <c r="G18" s="17" t="s">
        <v>20</v>
      </c>
      <c r="H18" s="9"/>
    </row>
    <row r="19" spans="2:8" ht="14.65" customHeight="1" x14ac:dyDescent="0.15">
      <c r="B19" s="177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178" t="s">
        <v>24</v>
      </c>
      <c r="C20" s="175"/>
      <c r="D20" s="174"/>
      <c r="E20" s="174"/>
      <c r="F20" s="174"/>
      <c r="G20" s="174"/>
      <c r="H20" s="9"/>
    </row>
    <row r="21" spans="2:8" ht="14.65" customHeight="1" x14ac:dyDescent="0.15">
      <c r="B21" s="176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177"/>
      <c r="C22" s="16" t="s">
        <v>32</v>
      </c>
      <c r="D22" s="17" t="s">
        <v>18</v>
      </c>
      <c r="E22" s="17" t="s">
        <v>19</v>
      </c>
      <c r="F22" s="17" t="s">
        <v>13</v>
      </c>
      <c r="G22" s="17" t="s">
        <v>20</v>
      </c>
      <c r="H22" s="9"/>
    </row>
    <row r="23" spans="2:8" ht="14.65" customHeight="1" x14ac:dyDescent="0.15">
      <c r="B23" s="177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179" t="s">
        <v>34</v>
      </c>
      <c r="C26" s="180"/>
      <c r="D26" s="181"/>
      <c r="E26" s="180"/>
      <c r="F26" s="180"/>
      <c r="G26" s="180"/>
      <c r="H26" s="23"/>
    </row>
    <row r="27" spans="2:8" ht="14.65" customHeight="1" x14ac:dyDescent="0.15">
      <c r="B27" s="182" t="s">
        <v>35</v>
      </c>
      <c r="C27" s="183"/>
      <c r="D27" s="184"/>
      <c r="E27" s="183"/>
      <c r="F27" s="183"/>
      <c r="G27" s="183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7.45" customHeight="1" x14ac:dyDescent="0.2">
      <c r="A36" s="29"/>
      <c r="B36" s="29" t="s">
        <v>41</v>
      </c>
      <c r="D36" s="25"/>
    </row>
    <row r="37" spans="1:8" ht="12.75" x14ac:dyDescent="0.15">
      <c r="D37" s="25"/>
    </row>
    <row r="38" spans="1:8" ht="14.25" x14ac:dyDescent="0.15">
      <c r="B38" s="30" t="s">
        <v>42</v>
      </c>
      <c r="C38" s="30" t="s">
        <v>43</v>
      </c>
      <c r="D38" s="30" t="s">
        <v>44</v>
      </c>
      <c r="E38" s="30" t="s">
        <v>45</v>
      </c>
      <c r="F38" s="30" t="s">
        <v>46</v>
      </c>
      <c r="G38" s="31" t="s">
        <v>47</v>
      </c>
      <c r="H38" s="9"/>
    </row>
    <row r="39" spans="1:8" ht="14.25" x14ac:dyDescent="0.15">
      <c r="B39" s="32" t="s">
        <v>48</v>
      </c>
      <c r="C39" s="32" t="s">
        <v>48</v>
      </c>
      <c r="D39" s="32" t="s">
        <v>48</v>
      </c>
      <c r="E39" s="32" t="s">
        <v>48</v>
      </c>
      <c r="F39" s="32" t="s">
        <v>48</v>
      </c>
      <c r="G39" s="33" t="s">
        <v>48</v>
      </c>
      <c r="H39" s="9"/>
    </row>
    <row r="40" spans="1:8" ht="14.25" x14ac:dyDescent="0.15">
      <c r="B40" s="34" t="s">
        <v>48</v>
      </c>
      <c r="C40" s="34" t="s">
        <v>48</v>
      </c>
      <c r="D40" s="34" t="s">
        <v>48</v>
      </c>
      <c r="E40" s="34" t="s">
        <v>48</v>
      </c>
      <c r="F40" s="34" t="s">
        <v>48</v>
      </c>
      <c r="G40" s="35" t="s">
        <v>48</v>
      </c>
      <c r="H40" s="9"/>
    </row>
    <row r="41" spans="1:8" ht="14.25" x14ac:dyDescent="0.15">
      <c r="B41" s="34" t="s">
        <v>48</v>
      </c>
      <c r="C41" s="34" t="s">
        <v>48</v>
      </c>
      <c r="D41" s="34" t="s">
        <v>49</v>
      </c>
      <c r="E41" s="34" t="s">
        <v>49</v>
      </c>
      <c r="F41" s="34" t="s">
        <v>49</v>
      </c>
      <c r="G41" s="34" t="s">
        <v>49</v>
      </c>
      <c r="H41" s="9"/>
    </row>
    <row r="42" spans="1:8" ht="14.25" x14ac:dyDescent="0.15">
      <c r="B42" s="34" t="s">
        <v>50</v>
      </c>
      <c r="C42" s="34" t="s">
        <v>50</v>
      </c>
      <c r="D42" s="34" t="s">
        <v>50</v>
      </c>
      <c r="E42" s="34" t="s">
        <v>50</v>
      </c>
      <c r="F42" s="34" t="s">
        <v>50</v>
      </c>
      <c r="G42" s="35" t="s">
        <v>50</v>
      </c>
      <c r="H42" s="9"/>
    </row>
    <row r="43" spans="1:8" ht="12.75" x14ac:dyDescent="0.15">
      <c r="B43" s="18"/>
      <c r="C43" s="18"/>
      <c r="D43" s="19"/>
      <c r="E43" s="18"/>
      <c r="F43" s="18"/>
      <c r="G43" s="18"/>
    </row>
    <row r="44" spans="1:8" ht="14.25" x14ac:dyDescent="0.15">
      <c r="B44" s="30" t="s">
        <v>51</v>
      </c>
      <c r="C44" s="30" t="s">
        <v>52</v>
      </c>
      <c r="D44" s="30" t="s">
        <v>53</v>
      </c>
      <c r="E44" s="30" t="s">
        <v>54</v>
      </c>
      <c r="F44" s="30" t="s">
        <v>55</v>
      </c>
      <c r="G44" s="31" t="s">
        <v>56</v>
      </c>
      <c r="H44" s="9"/>
    </row>
    <row r="45" spans="1:8" ht="14.25" x14ac:dyDescent="0.15">
      <c r="B45" s="32" t="s">
        <v>48</v>
      </c>
      <c r="C45" s="32" t="s">
        <v>48</v>
      </c>
      <c r="D45" s="32" t="s">
        <v>48</v>
      </c>
      <c r="E45" s="32" t="s">
        <v>48</v>
      </c>
      <c r="F45" s="32" t="s">
        <v>48</v>
      </c>
      <c r="G45" s="33" t="s">
        <v>48</v>
      </c>
      <c r="H45" s="9"/>
    </row>
    <row r="46" spans="1:8" ht="14.25" x14ac:dyDescent="0.15">
      <c r="B46" s="34" t="s">
        <v>48</v>
      </c>
      <c r="C46" s="34" t="s">
        <v>48</v>
      </c>
      <c r="D46" s="34" t="s">
        <v>48</v>
      </c>
      <c r="E46" s="34" t="s">
        <v>48</v>
      </c>
      <c r="F46" s="34" t="s">
        <v>48</v>
      </c>
      <c r="G46" s="35" t="s">
        <v>48</v>
      </c>
      <c r="H46" s="9"/>
    </row>
    <row r="47" spans="1:8" ht="14.25" x14ac:dyDescent="0.15">
      <c r="B47" s="34" t="s">
        <v>49</v>
      </c>
      <c r="C47" s="34" t="s">
        <v>49</v>
      </c>
      <c r="D47" s="34" t="s">
        <v>49</v>
      </c>
      <c r="E47" s="34" t="s">
        <v>50</v>
      </c>
      <c r="F47" s="34" t="s">
        <v>57</v>
      </c>
      <c r="G47" s="34" t="s">
        <v>57</v>
      </c>
      <c r="H47" s="9"/>
    </row>
    <row r="48" spans="1:8" ht="14.25" x14ac:dyDescent="0.15">
      <c r="B48" s="34" t="s">
        <v>50</v>
      </c>
      <c r="C48" s="34" t="s">
        <v>50</v>
      </c>
      <c r="D48" s="34" t="s">
        <v>50</v>
      </c>
      <c r="E48" s="34" t="s">
        <v>50</v>
      </c>
      <c r="F48" s="34" t="s">
        <v>50</v>
      </c>
      <c r="G48" s="35" t="s">
        <v>50</v>
      </c>
      <c r="H48" s="9"/>
    </row>
    <row r="49" spans="1:8" ht="12.75" x14ac:dyDescent="0.15">
      <c r="B49" s="18"/>
      <c r="C49" s="18"/>
      <c r="D49" s="19"/>
      <c r="E49" s="18"/>
      <c r="F49" s="18"/>
      <c r="G49" s="18"/>
    </row>
    <row r="50" spans="1:8" ht="14.25" x14ac:dyDescent="0.15">
      <c r="B50" s="30" t="s">
        <v>58</v>
      </c>
      <c r="C50" s="30" t="s">
        <v>59</v>
      </c>
      <c r="D50" s="30" t="s">
        <v>60</v>
      </c>
      <c r="E50" s="9"/>
    </row>
    <row r="51" spans="1:8" ht="14.25" x14ac:dyDescent="0.15">
      <c r="B51" s="32" t="s">
        <v>48</v>
      </c>
      <c r="C51" s="32" t="s">
        <v>48</v>
      </c>
      <c r="D51" s="32" t="s">
        <v>48</v>
      </c>
      <c r="E51" s="9"/>
    </row>
    <row r="52" spans="1:8" ht="14.25" x14ac:dyDescent="0.15">
      <c r="B52" s="34" t="s">
        <v>48</v>
      </c>
      <c r="C52" s="34" t="s">
        <v>48</v>
      </c>
      <c r="D52" s="34" t="s">
        <v>48</v>
      </c>
      <c r="E52" s="9"/>
    </row>
    <row r="53" spans="1:8" ht="14.25" x14ac:dyDescent="0.15">
      <c r="B53" s="34" t="s">
        <v>57</v>
      </c>
      <c r="C53" s="34" t="s">
        <v>57</v>
      </c>
      <c r="D53" s="34" t="s">
        <v>57</v>
      </c>
      <c r="E53" s="9"/>
    </row>
    <row r="54" spans="1:8" ht="14.25" x14ac:dyDescent="0.15">
      <c r="B54" s="34" t="s">
        <v>50</v>
      </c>
      <c r="C54" s="34" t="s">
        <v>50</v>
      </c>
      <c r="D54" s="34" t="s">
        <v>50</v>
      </c>
      <c r="E54" s="9"/>
    </row>
    <row r="55" spans="1:8" ht="12.75" x14ac:dyDescent="0.15">
      <c r="B55" s="18"/>
      <c r="C55" s="18"/>
      <c r="D55" s="19"/>
    </row>
    <row r="56" spans="1:8" ht="14.25" x14ac:dyDescent="0.15">
      <c r="B56" s="36"/>
      <c r="C56" s="36"/>
      <c r="D56" s="37"/>
    </row>
    <row r="57" spans="1:8" ht="17.45" customHeight="1" x14ac:dyDescent="0.2">
      <c r="A57" s="29"/>
      <c r="B57" s="29" t="s">
        <v>61</v>
      </c>
      <c r="D57" s="25"/>
    </row>
    <row r="58" spans="1:8" ht="12.75" x14ac:dyDescent="0.15">
      <c r="D58" s="25"/>
    </row>
    <row r="59" spans="1:8" ht="14.25" x14ac:dyDescent="0.15">
      <c r="B59" s="30" t="s">
        <v>42</v>
      </c>
      <c r="C59" s="30" t="s">
        <v>43</v>
      </c>
      <c r="D59" s="30" t="s">
        <v>44</v>
      </c>
      <c r="E59" s="30" t="s">
        <v>45</v>
      </c>
      <c r="F59" s="30" t="s">
        <v>46</v>
      </c>
      <c r="G59" s="31" t="s">
        <v>47</v>
      </c>
      <c r="H59" s="9"/>
    </row>
    <row r="60" spans="1:8" ht="14.25" x14ac:dyDescent="0.15">
      <c r="B60" s="32" t="s">
        <v>48</v>
      </c>
      <c r="C60" s="32" t="s">
        <v>48</v>
      </c>
      <c r="D60" s="32" t="s">
        <v>48</v>
      </c>
      <c r="E60" s="32" t="s">
        <v>48</v>
      </c>
      <c r="F60" s="32" t="s">
        <v>48</v>
      </c>
      <c r="G60" s="33" t="s">
        <v>48</v>
      </c>
      <c r="H60" s="9"/>
    </row>
    <row r="61" spans="1:8" ht="14.25" x14ac:dyDescent="0.15">
      <c r="B61" s="34" t="s">
        <v>48</v>
      </c>
      <c r="C61" s="34" t="s">
        <v>48</v>
      </c>
      <c r="D61" s="34" t="s">
        <v>48</v>
      </c>
      <c r="E61" s="34" t="s">
        <v>48</v>
      </c>
      <c r="F61" s="34" t="s">
        <v>48</v>
      </c>
      <c r="G61" s="35" t="s">
        <v>48</v>
      </c>
      <c r="H61" s="9"/>
    </row>
    <row r="62" spans="1:8" ht="14.25" x14ac:dyDescent="0.15">
      <c r="B62" s="34" t="s">
        <v>48</v>
      </c>
      <c r="C62" s="34" t="s">
        <v>49</v>
      </c>
      <c r="D62" s="34" t="s">
        <v>49</v>
      </c>
      <c r="E62" s="34" t="s">
        <v>49</v>
      </c>
      <c r="F62" s="34" t="s">
        <v>49</v>
      </c>
      <c r="G62" s="34" t="s">
        <v>49</v>
      </c>
      <c r="H62" s="9"/>
    </row>
    <row r="63" spans="1:8" ht="14.25" x14ac:dyDescent="0.15">
      <c r="B63" s="34" t="s">
        <v>50</v>
      </c>
      <c r="C63" s="34" t="s">
        <v>50</v>
      </c>
      <c r="D63" s="34" t="s">
        <v>50</v>
      </c>
      <c r="E63" s="34" t="s">
        <v>50</v>
      </c>
      <c r="F63" s="34" t="s">
        <v>50</v>
      </c>
      <c r="G63" s="35" t="s">
        <v>50</v>
      </c>
      <c r="H63" s="9"/>
    </row>
    <row r="64" spans="1:8" ht="12.75" x14ac:dyDescent="0.15">
      <c r="B64" s="18"/>
      <c r="C64" s="18"/>
      <c r="D64" s="19"/>
      <c r="E64" s="18"/>
      <c r="F64" s="18"/>
      <c r="G64" s="18"/>
    </row>
    <row r="65" spans="1:8" ht="14.25" x14ac:dyDescent="0.15">
      <c r="B65" s="30" t="s">
        <v>51</v>
      </c>
      <c r="C65" s="30" t="s">
        <v>52</v>
      </c>
      <c r="D65" s="30" t="s">
        <v>53</v>
      </c>
      <c r="E65" s="30" t="s">
        <v>54</v>
      </c>
      <c r="F65" s="30" t="s">
        <v>55</v>
      </c>
      <c r="G65" s="31" t="s">
        <v>56</v>
      </c>
      <c r="H65" s="9"/>
    </row>
    <row r="66" spans="1:8" ht="14.25" x14ac:dyDescent="0.15">
      <c r="B66" s="32" t="s">
        <v>48</v>
      </c>
      <c r="C66" s="32" t="s">
        <v>48</v>
      </c>
      <c r="D66" s="32" t="s">
        <v>48</v>
      </c>
      <c r="E66" s="32" t="s">
        <v>48</v>
      </c>
      <c r="F66" s="32" t="s">
        <v>48</v>
      </c>
      <c r="G66" s="33" t="s">
        <v>48</v>
      </c>
      <c r="H66" s="9"/>
    </row>
    <row r="67" spans="1:8" ht="14.25" x14ac:dyDescent="0.15">
      <c r="B67" s="34" t="s">
        <v>48</v>
      </c>
      <c r="C67" s="34" t="s">
        <v>48</v>
      </c>
      <c r="D67" s="34" t="s">
        <v>48</v>
      </c>
      <c r="E67" s="34" t="s">
        <v>48</v>
      </c>
      <c r="F67" s="34" t="s">
        <v>48</v>
      </c>
      <c r="G67" s="35" t="s">
        <v>48</v>
      </c>
      <c r="H67" s="9"/>
    </row>
    <row r="68" spans="1:8" ht="14.25" x14ac:dyDescent="0.15">
      <c r="B68" s="34" t="s">
        <v>50</v>
      </c>
      <c r="C68" s="34" t="s">
        <v>50</v>
      </c>
      <c r="D68" s="34" t="s">
        <v>50</v>
      </c>
      <c r="E68" s="34" t="s">
        <v>57</v>
      </c>
      <c r="F68" s="34" t="s">
        <v>57</v>
      </c>
      <c r="G68" s="34" t="s">
        <v>57</v>
      </c>
      <c r="H68" s="9"/>
    </row>
    <row r="69" spans="1:8" ht="14.25" x14ac:dyDescent="0.15">
      <c r="B69" s="34" t="s">
        <v>50</v>
      </c>
      <c r="C69" s="34" t="s">
        <v>50</v>
      </c>
      <c r="D69" s="34" t="s">
        <v>50</v>
      </c>
      <c r="E69" s="34" t="s">
        <v>50</v>
      </c>
      <c r="F69" s="34" t="s">
        <v>50</v>
      </c>
      <c r="G69" s="35" t="s">
        <v>50</v>
      </c>
      <c r="H69" s="9"/>
    </row>
    <row r="70" spans="1:8" ht="12.75" x14ac:dyDescent="0.15">
      <c r="B70" s="18"/>
      <c r="C70" s="18"/>
      <c r="D70" s="19"/>
      <c r="E70" s="18"/>
      <c r="F70" s="18"/>
      <c r="G70" s="18"/>
    </row>
    <row r="71" spans="1:8" ht="12.75" x14ac:dyDescent="0.15">
      <c r="D71" s="25"/>
    </row>
    <row r="72" spans="1:8" ht="17.45" customHeight="1" x14ac:dyDescent="0.2">
      <c r="A72" s="29"/>
      <c r="B72" s="29" t="s">
        <v>62</v>
      </c>
      <c r="D72" s="25"/>
    </row>
    <row r="73" spans="1:8" ht="12.75" x14ac:dyDescent="0.15">
      <c r="D73" s="25"/>
    </row>
    <row r="74" spans="1:8" ht="14.25" x14ac:dyDescent="0.15">
      <c r="B74" s="30" t="s">
        <v>42</v>
      </c>
      <c r="C74" s="30" t="s">
        <v>43</v>
      </c>
      <c r="D74" s="30" t="s">
        <v>44</v>
      </c>
      <c r="E74" s="30" t="s">
        <v>45</v>
      </c>
      <c r="F74" s="30" t="s">
        <v>46</v>
      </c>
      <c r="G74" s="31" t="s">
        <v>47</v>
      </c>
      <c r="H74" s="9"/>
    </row>
    <row r="75" spans="1:8" ht="14.25" x14ac:dyDescent="0.15">
      <c r="B75" s="32" t="s">
        <v>48</v>
      </c>
      <c r="C75" s="32" t="s">
        <v>48</v>
      </c>
      <c r="D75" s="32" t="s">
        <v>48</v>
      </c>
      <c r="E75" s="32" t="s">
        <v>48</v>
      </c>
      <c r="F75" s="32" t="s">
        <v>48</v>
      </c>
      <c r="G75" s="33" t="s">
        <v>48</v>
      </c>
      <c r="H75" s="9"/>
    </row>
    <row r="76" spans="1:8" ht="14.25" x14ac:dyDescent="0.15">
      <c r="B76" s="34" t="s">
        <v>48</v>
      </c>
      <c r="C76" s="34" t="s">
        <v>48</v>
      </c>
      <c r="D76" s="34" t="s">
        <v>48</v>
      </c>
      <c r="E76" s="34" t="s">
        <v>48</v>
      </c>
      <c r="F76" s="34" t="s">
        <v>48</v>
      </c>
      <c r="G76" s="35" t="s">
        <v>48</v>
      </c>
      <c r="H76" s="9"/>
    </row>
    <row r="77" spans="1:8" ht="14.25" x14ac:dyDescent="0.15">
      <c r="B77" s="34" t="s">
        <v>48</v>
      </c>
      <c r="C77" s="34" t="s">
        <v>48</v>
      </c>
      <c r="D77" s="34" t="s">
        <v>49</v>
      </c>
      <c r="E77" s="34" t="s">
        <v>49</v>
      </c>
      <c r="F77" s="34" t="s">
        <v>49</v>
      </c>
      <c r="G77" s="34" t="s">
        <v>49</v>
      </c>
      <c r="H77" s="9"/>
    </row>
    <row r="78" spans="1:8" ht="14.25" x14ac:dyDescent="0.15">
      <c r="B78" s="34" t="s">
        <v>50</v>
      </c>
      <c r="C78" s="34" t="s">
        <v>50</v>
      </c>
      <c r="D78" s="34" t="s">
        <v>50</v>
      </c>
      <c r="E78" s="34" t="s">
        <v>50</v>
      </c>
      <c r="F78" s="34" t="s">
        <v>50</v>
      </c>
      <c r="G78" s="35" t="s">
        <v>50</v>
      </c>
      <c r="H78" s="9"/>
    </row>
    <row r="79" spans="1:8" ht="12.75" x14ac:dyDescent="0.15">
      <c r="B79" s="18"/>
      <c r="C79" s="18"/>
      <c r="D79" s="19"/>
      <c r="E79" s="18"/>
      <c r="F79" s="18"/>
      <c r="G79" s="18"/>
    </row>
    <row r="80" spans="1:8" ht="14.25" x14ac:dyDescent="0.15">
      <c r="B80" s="30" t="s">
        <v>51</v>
      </c>
      <c r="C80" s="30" t="s">
        <v>52</v>
      </c>
      <c r="D80" s="30" t="s">
        <v>53</v>
      </c>
      <c r="E80" s="30" t="s">
        <v>54</v>
      </c>
      <c r="F80" s="30" t="s">
        <v>55</v>
      </c>
      <c r="G80" s="31" t="s">
        <v>56</v>
      </c>
      <c r="H80" s="9"/>
    </row>
    <row r="81" spans="2:8" ht="14.25" x14ac:dyDescent="0.15">
      <c r="B81" s="32" t="s">
        <v>48</v>
      </c>
      <c r="C81" s="32" t="s">
        <v>48</v>
      </c>
      <c r="D81" s="32" t="s">
        <v>48</v>
      </c>
      <c r="E81" s="32" t="s">
        <v>48</v>
      </c>
      <c r="F81" s="32" t="s">
        <v>48</v>
      </c>
      <c r="G81" s="33" t="s">
        <v>48</v>
      </c>
      <c r="H81" s="9"/>
    </row>
    <row r="82" spans="2:8" ht="14.25" x14ac:dyDescent="0.15">
      <c r="B82" s="34" t="s">
        <v>48</v>
      </c>
      <c r="C82" s="34" t="s">
        <v>48</v>
      </c>
      <c r="D82" s="34" t="s">
        <v>48</v>
      </c>
      <c r="E82" s="34" t="s">
        <v>48</v>
      </c>
      <c r="F82" s="34" t="s">
        <v>48</v>
      </c>
      <c r="G82" s="35" t="s">
        <v>48</v>
      </c>
      <c r="H82" s="9"/>
    </row>
    <row r="83" spans="2:8" ht="14.25" x14ac:dyDescent="0.15">
      <c r="B83" s="34" t="s">
        <v>49</v>
      </c>
      <c r="C83" s="34" t="s">
        <v>49</v>
      </c>
      <c r="D83" s="34" t="s">
        <v>49</v>
      </c>
      <c r="E83" s="34" t="s">
        <v>49</v>
      </c>
      <c r="F83" s="34" t="s">
        <v>49</v>
      </c>
      <c r="G83" s="34" t="s">
        <v>49</v>
      </c>
      <c r="H83" s="9"/>
    </row>
    <row r="84" spans="2:8" ht="14.25" x14ac:dyDescent="0.15">
      <c r="B84" s="34" t="s">
        <v>50</v>
      </c>
      <c r="C84" s="34" t="s">
        <v>50</v>
      </c>
      <c r="D84" s="34" t="s">
        <v>50</v>
      </c>
      <c r="E84" s="34" t="s">
        <v>50</v>
      </c>
      <c r="F84" s="34" t="s">
        <v>50</v>
      </c>
      <c r="G84" s="35" t="s">
        <v>50</v>
      </c>
      <c r="H84" s="9"/>
    </row>
    <row r="85" spans="2:8" ht="12.75" x14ac:dyDescent="0.15">
      <c r="B85" s="18"/>
      <c r="C85" s="18"/>
      <c r="D85" s="19"/>
      <c r="E85" s="18"/>
      <c r="F85" s="18"/>
      <c r="G85" s="18"/>
    </row>
    <row r="86" spans="2:8" ht="14.25" x14ac:dyDescent="0.15">
      <c r="B86" s="30" t="s">
        <v>58</v>
      </c>
      <c r="C86" s="30" t="s">
        <v>59</v>
      </c>
      <c r="D86" s="30" t="s">
        <v>60</v>
      </c>
      <c r="E86" s="30" t="s">
        <v>63</v>
      </c>
      <c r="F86" s="30" t="s">
        <v>64</v>
      </c>
      <c r="G86" s="31" t="s">
        <v>65</v>
      </c>
      <c r="H86" s="9"/>
    </row>
    <row r="87" spans="2:8" ht="14.25" x14ac:dyDescent="0.15">
      <c r="B87" s="32" t="s">
        <v>48</v>
      </c>
      <c r="C87" s="32" t="s">
        <v>48</v>
      </c>
      <c r="D87" s="32" t="s">
        <v>48</v>
      </c>
      <c r="E87" s="32" t="s">
        <v>48</v>
      </c>
      <c r="F87" s="32" t="s">
        <v>48</v>
      </c>
      <c r="G87" s="33" t="s">
        <v>48</v>
      </c>
      <c r="H87" s="9"/>
    </row>
    <row r="88" spans="2:8" ht="14.25" x14ac:dyDescent="0.15">
      <c r="B88" s="34" t="s">
        <v>48</v>
      </c>
      <c r="C88" s="34" t="s">
        <v>48</v>
      </c>
      <c r="D88" s="34" t="s">
        <v>48</v>
      </c>
      <c r="E88" s="34" t="s">
        <v>48</v>
      </c>
      <c r="F88" s="34" t="s">
        <v>48</v>
      </c>
      <c r="G88" s="35" t="s">
        <v>48</v>
      </c>
      <c r="H88" s="9"/>
    </row>
    <row r="89" spans="2:8" ht="14.25" x14ac:dyDescent="0.15">
      <c r="B89" s="34" t="s">
        <v>50</v>
      </c>
      <c r="C89" s="34" t="s">
        <v>50</v>
      </c>
      <c r="D89" s="34" t="s">
        <v>57</v>
      </c>
      <c r="E89" s="34" t="s">
        <v>57</v>
      </c>
      <c r="F89" s="34" t="s">
        <v>57</v>
      </c>
      <c r="G89" s="34" t="s">
        <v>57</v>
      </c>
      <c r="H89" s="9"/>
    </row>
    <row r="90" spans="2:8" ht="14.25" x14ac:dyDescent="0.15">
      <c r="B90" s="34" t="s">
        <v>50</v>
      </c>
      <c r="C90" s="34" t="s">
        <v>50</v>
      </c>
      <c r="D90" s="34" t="s">
        <v>50</v>
      </c>
      <c r="E90" s="34" t="s">
        <v>50</v>
      </c>
      <c r="F90" s="34" t="s">
        <v>50</v>
      </c>
      <c r="G90" s="35" t="s">
        <v>50</v>
      </c>
      <c r="H90" s="9"/>
    </row>
    <row r="91" spans="2:8" ht="12.75" x14ac:dyDescent="0.15">
      <c r="B91" s="18"/>
      <c r="C91" s="18"/>
      <c r="D91" s="19"/>
      <c r="E91" s="18"/>
      <c r="F91" s="18"/>
      <c r="G91" s="18"/>
    </row>
    <row r="92" spans="2:8" ht="14.25" x14ac:dyDescent="0.15">
      <c r="B92" s="30" t="s">
        <v>66</v>
      </c>
      <c r="C92" s="30" t="s">
        <v>67</v>
      </c>
      <c r="D92" s="38"/>
    </row>
    <row r="93" spans="2:8" ht="14.25" x14ac:dyDescent="0.15">
      <c r="B93" s="32" t="s">
        <v>48</v>
      </c>
      <c r="C93" s="32" t="s">
        <v>48</v>
      </c>
      <c r="D93" s="38"/>
    </row>
    <row r="94" spans="2:8" ht="14.25" x14ac:dyDescent="0.15">
      <c r="B94" s="34" t="s">
        <v>48</v>
      </c>
      <c r="C94" s="34" t="s">
        <v>48</v>
      </c>
      <c r="D94" s="38"/>
    </row>
    <row r="95" spans="2:8" ht="14.25" x14ac:dyDescent="0.15">
      <c r="B95" s="34" t="s">
        <v>57</v>
      </c>
      <c r="C95" s="34" t="s">
        <v>57</v>
      </c>
      <c r="D95" s="38"/>
    </row>
    <row r="96" spans="2:8" ht="14.25" x14ac:dyDescent="0.15">
      <c r="B96" s="34" t="s">
        <v>50</v>
      </c>
      <c r="C96" s="34" t="s">
        <v>50</v>
      </c>
      <c r="D96" s="38"/>
    </row>
    <row r="97" spans="1:8" ht="12.75" x14ac:dyDescent="0.15">
      <c r="B97" s="18"/>
      <c r="C97" s="18"/>
      <c r="D97" s="25"/>
    </row>
    <row r="98" spans="1:8" ht="12.75" x14ac:dyDescent="0.15">
      <c r="D98" s="25"/>
    </row>
    <row r="99" spans="1:8" ht="14.25" x14ac:dyDescent="0.15">
      <c r="B99" s="39" t="s">
        <v>68</v>
      </c>
      <c r="C99" s="40" t="s">
        <v>69</v>
      </c>
      <c r="D99" s="40" t="s">
        <v>70</v>
      </c>
      <c r="E99" s="9"/>
    </row>
    <row r="100" spans="1:8" ht="14.25" x14ac:dyDescent="0.15">
      <c r="B100" s="41" t="s">
        <v>71</v>
      </c>
      <c r="C100" s="41" t="s">
        <v>72</v>
      </c>
      <c r="D100" s="41" t="s">
        <v>73</v>
      </c>
      <c r="E100" s="9"/>
    </row>
    <row r="101" spans="1:8" ht="14.25" x14ac:dyDescent="0.15">
      <c r="B101" s="42" t="s">
        <v>74</v>
      </c>
      <c r="C101" s="41" t="s">
        <v>75</v>
      </c>
      <c r="D101" s="41" t="s">
        <v>76</v>
      </c>
      <c r="E101" s="9"/>
    </row>
    <row r="102" spans="1:8" ht="14.25" x14ac:dyDescent="0.15">
      <c r="B102" s="42" t="s">
        <v>77</v>
      </c>
      <c r="C102" s="41" t="s">
        <v>78</v>
      </c>
      <c r="D102" s="41" t="s">
        <v>79</v>
      </c>
      <c r="E102" s="9"/>
    </row>
    <row r="103" spans="1:8" ht="12.75" x14ac:dyDescent="0.15">
      <c r="B103" s="18"/>
      <c r="C103" s="18"/>
      <c r="D103" s="19"/>
    </row>
    <row r="104" spans="1:8" ht="12.75" x14ac:dyDescent="0.15">
      <c r="D104" s="25"/>
    </row>
    <row r="105" spans="1:8" ht="12.75" x14ac:dyDescent="0.15">
      <c r="D105" s="25"/>
    </row>
    <row r="106" spans="1:8" ht="12.75" x14ac:dyDescent="0.15">
      <c r="D106" s="25"/>
    </row>
    <row r="107" spans="1:8" ht="12.75" x14ac:dyDescent="0.15">
      <c r="D107" s="25"/>
    </row>
    <row r="108" spans="1:8" ht="17.45" customHeight="1" x14ac:dyDescent="0.2">
      <c r="A108" s="43"/>
      <c r="B108" s="43" t="s">
        <v>80</v>
      </c>
      <c r="D108" s="25"/>
    </row>
    <row r="109" spans="1:8" ht="12.75" x14ac:dyDescent="0.15">
      <c r="D109" s="25"/>
    </row>
    <row r="110" spans="1:8" ht="14.25" x14ac:dyDescent="0.15">
      <c r="B110" s="44" t="s">
        <v>42</v>
      </c>
      <c r="C110" s="44" t="s">
        <v>43</v>
      </c>
      <c r="D110" s="44" t="s">
        <v>44</v>
      </c>
      <c r="E110" s="44" t="s">
        <v>45</v>
      </c>
      <c r="F110" s="44" t="s">
        <v>46</v>
      </c>
      <c r="G110" s="45" t="s">
        <v>47</v>
      </c>
      <c r="H110" s="9"/>
    </row>
    <row r="111" spans="1:8" ht="14.25" x14ac:dyDescent="0.15">
      <c r="B111" s="32" t="s">
        <v>81</v>
      </c>
      <c r="C111" s="32" t="s">
        <v>81</v>
      </c>
      <c r="D111" s="32" t="s">
        <v>81</v>
      </c>
      <c r="E111" s="32" t="s">
        <v>81</v>
      </c>
      <c r="F111" s="32" t="s">
        <v>81</v>
      </c>
      <c r="G111" s="33" t="s">
        <v>81</v>
      </c>
      <c r="H111" s="9"/>
    </row>
    <row r="112" spans="1:8" ht="14.25" x14ac:dyDescent="0.15">
      <c r="B112" s="34" t="s">
        <v>81</v>
      </c>
      <c r="C112" s="34" t="s">
        <v>81</v>
      </c>
      <c r="D112" s="34" t="s">
        <v>81</v>
      </c>
      <c r="E112" s="34" t="s">
        <v>82</v>
      </c>
      <c r="F112" s="34" t="s">
        <v>82</v>
      </c>
      <c r="G112" s="35" t="s">
        <v>82</v>
      </c>
      <c r="H112" s="9"/>
    </row>
    <row r="113" spans="1:8" ht="14.25" x14ac:dyDescent="0.15">
      <c r="B113" s="34" t="s">
        <v>82</v>
      </c>
      <c r="C113" s="34" t="s">
        <v>82</v>
      </c>
      <c r="D113" s="34" t="s">
        <v>82</v>
      </c>
      <c r="E113" s="34" t="s">
        <v>83</v>
      </c>
      <c r="F113" s="34" t="s">
        <v>84</v>
      </c>
      <c r="G113" s="35" t="s">
        <v>84</v>
      </c>
      <c r="H113" s="9"/>
    </row>
    <row r="114" spans="1:8" ht="14.25" x14ac:dyDescent="0.15">
      <c r="B114" s="34" t="s">
        <v>84</v>
      </c>
      <c r="C114" s="34" t="s">
        <v>84</v>
      </c>
      <c r="D114" s="34" t="s">
        <v>83</v>
      </c>
      <c r="E114" s="34" t="s">
        <v>85</v>
      </c>
      <c r="F114" s="34" t="s">
        <v>86</v>
      </c>
      <c r="G114" s="35" t="s">
        <v>86</v>
      </c>
      <c r="H114" s="9"/>
    </row>
    <row r="115" spans="1:8" ht="12.75" x14ac:dyDescent="0.15">
      <c r="B115" s="18"/>
      <c r="C115" s="18"/>
      <c r="D115" s="19"/>
      <c r="E115" s="18"/>
      <c r="F115" s="18"/>
      <c r="G115" s="18"/>
    </row>
    <row r="116" spans="1:8" ht="14.25" x14ac:dyDescent="0.15">
      <c r="B116" s="44" t="s">
        <v>51</v>
      </c>
      <c r="C116" s="44" t="s">
        <v>52</v>
      </c>
      <c r="D116" s="44" t="s">
        <v>53</v>
      </c>
      <c r="E116" s="44" t="s">
        <v>54</v>
      </c>
      <c r="F116" s="44" t="s">
        <v>55</v>
      </c>
      <c r="G116" s="45" t="s">
        <v>56</v>
      </c>
      <c r="H116" s="9"/>
    </row>
    <row r="117" spans="1:8" ht="14.25" x14ac:dyDescent="0.15">
      <c r="B117" s="32" t="s">
        <v>81</v>
      </c>
      <c r="C117" s="32" t="s">
        <v>81</v>
      </c>
      <c r="D117" s="32" t="s">
        <v>81</v>
      </c>
      <c r="E117" s="32" t="s">
        <v>81</v>
      </c>
      <c r="F117" s="32" t="s">
        <v>81</v>
      </c>
      <c r="G117" s="33" t="s">
        <v>81</v>
      </c>
      <c r="H117" s="9"/>
    </row>
    <row r="118" spans="1:8" ht="14.25" x14ac:dyDescent="0.15">
      <c r="B118" s="34" t="s">
        <v>82</v>
      </c>
      <c r="C118" s="34" t="s">
        <v>82</v>
      </c>
      <c r="D118" s="34" t="s">
        <v>81</v>
      </c>
      <c r="E118" s="34" t="s">
        <v>81</v>
      </c>
      <c r="F118" s="34" t="s">
        <v>81</v>
      </c>
      <c r="G118" s="35" t="s">
        <v>81</v>
      </c>
      <c r="H118" s="9"/>
    </row>
    <row r="119" spans="1:8" ht="14.25" x14ac:dyDescent="0.15">
      <c r="B119" s="34" t="s">
        <v>84</v>
      </c>
      <c r="C119" s="34" t="s">
        <v>84</v>
      </c>
      <c r="D119" s="34" t="s">
        <v>84</v>
      </c>
      <c r="E119" s="34" t="s">
        <v>84</v>
      </c>
      <c r="F119" s="34" t="s">
        <v>87</v>
      </c>
      <c r="G119" s="35" t="s">
        <v>88</v>
      </c>
      <c r="H119" s="9"/>
    </row>
    <row r="120" spans="1:8" ht="14.25" x14ac:dyDescent="0.15">
      <c r="B120" s="34" t="s">
        <v>86</v>
      </c>
      <c r="C120" s="34" t="s">
        <v>86</v>
      </c>
      <c r="D120" s="34" t="s">
        <v>86</v>
      </c>
      <c r="E120" s="34" t="s">
        <v>89</v>
      </c>
      <c r="F120" s="34" t="s">
        <v>89</v>
      </c>
      <c r="G120" s="34" t="s">
        <v>89</v>
      </c>
      <c r="H120" s="9"/>
    </row>
    <row r="121" spans="1:8" ht="14.25" x14ac:dyDescent="0.15">
      <c r="B121" s="46"/>
      <c r="C121" s="46"/>
      <c r="D121" s="46"/>
      <c r="E121" s="46"/>
      <c r="F121" s="46"/>
      <c r="G121" s="47"/>
    </row>
    <row r="122" spans="1:8" ht="12.75" x14ac:dyDescent="0.15">
      <c r="D122" s="25"/>
    </row>
    <row r="123" spans="1:8" ht="14.25" x14ac:dyDescent="0.15">
      <c r="B123" s="39" t="s">
        <v>68</v>
      </c>
      <c r="C123" s="48" t="s">
        <v>90</v>
      </c>
      <c r="D123" s="48" t="s">
        <v>70</v>
      </c>
      <c r="E123" s="48" t="s">
        <v>91</v>
      </c>
      <c r="F123" s="9"/>
    </row>
    <row r="124" spans="1:8" ht="14.25" x14ac:dyDescent="0.15">
      <c r="B124" s="41" t="s">
        <v>71</v>
      </c>
      <c r="C124" s="41" t="s">
        <v>92</v>
      </c>
      <c r="D124" s="41" t="s">
        <v>93</v>
      </c>
      <c r="E124" s="41" t="s">
        <v>94</v>
      </c>
      <c r="F124" s="9"/>
    </row>
    <row r="125" spans="1:8" ht="14.25" x14ac:dyDescent="0.15">
      <c r="B125" s="49"/>
      <c r="C125" s="49"/>
      <c r="D125" s="49"/>
      <c r="E125" s="49"/>
    </row>
    <row r="126" spans="1:8" ht="14.25" x14ac:dyDescent="0.15">
      <c r="B126" s="50"/>
      <c r="C126" s="50"/>
      <c r="D126" s="50"/>
      <c r="E126" s="50"/>
    </row>
    <row r="127" spans="1:8" ht="17.45" customHeight="1" x14ac:dyDescent="0.2">
      <c r="A127" s="43"/>
      <c r="B127" s="43" t="s">
        <v>95</v>
      </c>
      <c r="D127" s="25"/>
    </row>
    <row r="128" spans="1:8" ht="12.75" x14ac:dyDescent="0.15">
      <c r="D128" s="25"/>
    </row>
    <row r="129" spans="2:8" ht="14.25" x14ac:dyDescent="0.15">
      <c r="B129" s="44" t="s">
        <v>42</v>
      </c>
      <c r="C129" s="44" t="s">
        <v>43</v>
      </c>
      <c r="D129" s="44" t="s">
        <v>44</v>
      </c>
      <c r="E129" s="44" t="s">
        <v>45</v>
      </c>
      <c r="F129" s="44" t="s">
        <v>46</v>
      </c>
      <c r="G129" s="45" t="s">
        <v>47</v>
      </c>
      <c r="H129" s="9"/>
    </row>
    <row r="130" spans="2:8" ht="14.25" x14ac:dyDescent="0.15">
      <c r="B130" s="32" t="s">
        <v>81</v>
      </c>
      <c r="C130" s="32" t="s">
        <v>81</v>
      </c>
      <c r="D130" s="32" t="s">
        <v>81</v>
      </c>
      <c r="E130" s="32" t="s">
        <v>81</v>
      </c>
      <c r="F130" s="32" t="s">
        <v>81</v>
      </c>
      <c r="G130" s="32" t="s">
        <v>81</v>
      </c>
      <c r="H130" s="9"/>
    </row>
    <row r="131" spans="2:8" ht="14.25" x14ac:dyDescent="0.15">
      <c r="B131" s="34" t="s">
        <v>81</v>
      </c>
      <c r="C131" s="34" t="s">
        <v>81</v>
      </c>
      <c r="D131" s="34" t="s">
        <v>81</v>
      </c>
      <c r="E131" s="34" t="s">
        <v>81</v>
      </c>
      <c r="F131" s="34" t="s">
        <v>81</v>
      </c>
      <c r="G131" s="34" t="s">
        <v>82</v>
      </c>
      <c r="H131" s="9"/>
    </row>
    <row r="132" spans="2:8" ht="14.25" x14ac:dyDescent="0.15">
      <c r="B132" s="34" t="s">
        <v>82</v>
      </c>
      <c r="C132" s="34" t="s">
        <v>82</v>
      </c>
      <c r="D132" s="34" t="s">
        <v>84</v>
      </c>
      <c r="E132" s="34" t="s">
        <v>84</v>
      </c>
      <c r="F132" s="34" t="s">
        <v>84</v>
      </c>
      <c r="G132" s="34" t="s">
        <v>84</v>
      </c>
      <c r="H132" s="9"/>
    </row>
    <row r="133" spans="2:8" ht="14.25" x14ac:dyDescent="0.15">
      <c r="B133" s="34" t="s">
        <v>84</v>
      </c>
      <c r="C133" s="34" t="s">
        <v>84</v>
      </c>
      <c r="D133" s="35" t="s">
        <v>86</v>
      </c>
      <c r="E133" s="34" t="s">
        <v>86</v>
      </c>
      <c r="F133" s="35" t="s">
        <v>86</v>
      </c>
      <c r="G133" s="35" t="s">
        <v>86</v>
      </c>
      <c r="H133" s="9"/>
    </row>
    <row r="134" spans="2:8" ht="12.75" x14ac:dyDescent="0.15">
      <c r="B134" s="18"/>
      <c r="C134" s="18"/>
      <c r="D134" s="19"/>
      <c r="E134" s="18"/>
      <c r="F134" s="18"/>
      <c r="G134" s="18"/>
    </row>
    <row r="135" spans="2:8" ht="14.25" x14ac:dyDescent="0.15">
      <c r="B135" s="44" t="s">
        <v>51</v>
      </c>
      <c r="C135" s="44" t="s">
        <v>52</v>
      </c>
      <c r="D135" s="9"/>
    </row>
    <row r="136" spans="2:8" ht="14.25" x14ac:dyDescent="0.15">
      <c r="B136" s="34" t="s">
        <v>81</v>
      </c>
      <c r="C136" s="34" t="s">
        <v>81</v>
      </c>
      <c r="D136" s="9"/>
    </row>
    <row r="137" spans="2:8" ht="14.25" x14ac:dyDescent="0.15">
      <c r="B137" s="34" t="s">
        <v>82</v>
      </c>
      <c r="C137" s="34" t="s">
        <v>82</v>
      </c>
      <c r="D137" s="9"/>
    </row>
    <row r="138" spans="2:8" ht="14.25" x14ac:dyDescent="0.15">
      <c r="B138" s="34" t="s">
        <v>87</v>
      </c>
      <c r="C138" s="34" t="s">
        <v>87</v>
      </c>
      <c r="D138" s="9"/>
    </row>
    <row r="139" spans="2:8" ht="14.25" x14ac:dyDescent="0.15">
      <c r="B139" s="34" t="s">
        <v>89</v>
      </c>
      <c r="C139" s="34" t="s">
        <v>89</v>
      </c>
      <c r="D139" s="9"/>
    </row>
    <row r="140" spans="2:8" ht="14.25" x14ac:dyDescent="0.15">
      <c r="B140" s="46"/>
      <c r="C140" s="46"/>
      <c r="D140" s="37"/>
      <c r="E140" s="37"/>
    </row>
    <row r="141" spans="2:8" ht="12.75" x14ac:dyDescent="0.15">
      <c r="D141" s="25"/>
    </row>
    <row r="142" spans="2:8" ht="14.25" x14ac:dyDescent="0.15">
      <c r="B142" s="39" t="s">
        <v>68</v>
      </c>
      <c r="C142" s="48" t="s">
        <v>90</v>
      </c>
      <c r="D142" s="48" t="s">
        <v>70</v>
      </c>
      <c r="E142" s="48" t="s">
        <v>91</v>
      </c>
      <c r="F142" s="9"/>
    </row>
    <row r="143" spans="2:8" ht="14.25" x14ac:dyDescent="0.15">
      <c r="B143" s="42" t="s">
        <v>74</v>
      </c>
      <c r="C143" s="41" t="s">
        <v>96</v>
      </c>
      <c r="D143" s="41" t="s">
        <v>97</v>
      </c>
      <c r="E143" s="41" t="s">
        <v>98</v>
      </c>
      <c r="F143" s="9"/>
    </row>
    <row r="144" spans="2:8" ht="12.75" x14ac:dyDescent="0.15">
      <c r="B144" s="18"/>
      <c r="C144" s="18"/>
      <c r="D144" s="19"/>
      <c r="E144" s="19"/>
    </row>
    <row r="145" spans="1:8" ht="17.45" customHeight="1" x14ac:dyDescent="0.2">
      <c r="A145" s="43"/>
      <c r="B145" s="43" t="s">
        <v>99</v>
      </c>
      <c r="D145" s="25"/>
    </row>
    <row r="146" spans="1:8" ht="12.75" x14ac:dyDescent="0.15">
      <c r="D146" s="25"/>
    </row>
    <row r="147" spans="1:8" ht="14.25" x14ac:dyDescent="0.15">
      <c r="B147" s="44" t="s">
        <v>42</v>
      </c>
      <c r="C147" s="44" t="s">
        <v>43</v>
      </c>
      <c r="D147" s="44" t="s">
        <v>44</v>
      </c>
      <c r="E147" s="44" t="s">
        <v>45</v>
      </c>
      <c r="F147" s="44" t="s">
        <v>46</v>
      </c>
      <c r="G147" s="45" t="s">
        <v>47</v>
      </c>
      <c r="H147" s="9"/>
    </row>
    <row r="148" spans="1:8" ht="14.25" x14ac:dyDescent="0.15">
      <c r="B148" s="32" t="s">
        <v>81</v>
      </c>
      <c r="C148" s="32" t="s">
        <v>81</v>
      </c>
      <c r="D148" s="32" t="s">
        <v>81</v>
      </c>
      <c r="E148" s="32" t="s">
        <v>81</v>
      </c>
      <c r="F148" s="32" t="s">
        <v>81</v>
      </c>
      <c r="G148" s="33" t="s">
        <v>81</v>
      </c>
      <c r="H148" s="9"/>
    </row>
    <row r="149" spans="1:8" ht="14.25" x14ac:dyDescent="0.15">
      <c r="B149" s="34" t="s">
        <v>81</v>
      </c>
      <c r="C149" s="34" t="s">
        <v>81</v>
      </c>
      <c r="D149" s="34" t="s">
        <v>81</v>
      </c>
      <c r="E149" s="34" t="s">
        <v>81</v>
      </c>
      <c r="F149" s="34" t="s">
        <v>81</v>
      </c>
      <c r="G149" s="35" t="s">
        <v>81</v>
      </c>
      <c r="H149" s="9"/>
    </row>
    <row r="150" spans="1:8" ht="14.25" x14ac:dyDescent="0.15">
      <c r="B150" s="35" t="s">
        <v>82</v>
      </c>
      <c r="C150" s="35" t="s">
        <v>82</v>
      </c>
      <c r="D150" s="35" t="s">
        <v>82</v>
      </c>
      <c r="E150" s="35" t="s">
        <v>82</v>
      </c>
      <c r="F150" s="34" t="s">
        <v>87</v>
      </c>
      <c r="G150" s="34" t="s">
        <v>87</v>
      </c>
      <c r="H150" s="9"/>
    </row>
    <row r="151" spans="1:8" ht="14.25" x14ac:dyDescent="0.15">
      <c r="B151" s="34" t="s">
        <v>84</v>
      </c>
      <c r="C151" s="34" t="s">
        <v>84</v>
      </c>
      <c r="D151" s="34" t="s">
        <v>84</v>
      </c>
      <c r="E151" s="34" t="s">
        <v>84</v>
      </c>
      <c r="F151" s="34" t="s">
        <v>86</v>
      </c>
      <c r="G151" s="35" t="s">
        <v>86</v>
      </c>
      <c r="H151" s="9"/>
    </row>
    <row r="152" spans="1:8" ht="12.75" x14ac:dyDescent="0.15">
      <c r="B152" s="18"/>
      <c r="C152" s="18"/>
      <c r="D152" s="19"/>
      <c r="E152" s="18"/>
      <c r="F152" s="18"/>
      <c r="G152" s="18"/>
    </row>
    <row r="153" spans="1:8" ht="14.25" x14ac:dyDescent="0.15">
      <c r="B153" s="44" t="s">
        <v>51</v>
      </c>
      <c r="C153" s="44" t="s">
        <v>52</v>
      </c>
      <c r="D153" s="44" t="s">
        <v>53</v>
      </c>
      <c r="E153" s="44" t="s">
        <v>54</v>
      </c>
      <c r="F153" s="44" t="s">
        <v>55</v>
      </c>
      <c r="G153" s="45" t="s">
        <v>56</v>
      </c>
      <c r="H153" s="9"/>
    </row>
    <row r="154" spans="1:8" ht="14.25" x14ac:dyDescent="0.15">
      <c r="B154" s="32" t="s">
        <v>81</v>
      </c>
      <c r="C154" s="32" t="s">
        <v>81</v>
      </c>
      <c r="D154" s="32" t="s">
        <v>81</v>
      </c>
      <c r="E154" s="32" t="s">
        <v>81</v>
      </c>
      <c r="F154" s="32" t="s">
        <v>81</v>
      </c>
      <c r="G154" s="33" t="s">
        <v>81</v>
      </c>
      <c r="H154" s="9"/>
    </row>
    <row r="155" spans="1:8" ht="14.25" x14ac:dyDescent="0.15">
      <c r="B155" s="34" t="s">
        <v>81</v>
      </c>
      <c r="C155" s="34" t="s">
        <v>82</v>
      </c>
      <c r="D155" s="34" t="s">
        <v>82</v>
      </c>
      <c r="E155" s="34" t="s">
        <v>82</v>
      </c>
      <c r="F155" s="34" t="s">
        <v>82</v>
      </c>
      <c r="G155" s="35" t="s">
        <v>82</v>
      </c>
      <c r="H155" s="9"/>
    </row>
    <row r="156" spans="1:8" ht="14.25" x14ac:dyDescent="0.15">
      <c r="B156" s="34" t="s">
        <v>87</v>
      </c>
      <c r="C156" s="34" t="s">
        <v>84</v>
      </c>
      <c r="D156" s="34" t="s">
        <v>84</v>
      </c>
      <c r="E156" s="34" t="s">
        <v>84</v>
      </c>
      <c r="F156" s="34" t="s">
        <v>84</v>
      </c>
      <c r="G156" s="35" t="s">
        <v>84</v>
      </c>
      <c r="H156" s="9"/>
    </row>
    <row r="157" spans="1:8" ht="14.25" x14ac:dyDescent="0.15">
      <c r="B157" s="34" t="s">
        <v>86</v>
      </c>
      <c r="C157" s="34" t="s">
        <v>89</v>
      </c>
      <c r="D157" s="34" t="s">
        <v>86</v>
      </c>
      <c r="E157" s="34" t="s">
        <v>89</v>
      </c>
      <c r="F157" s="34" t="s">
        <v>86</v>
      </c>
      <c r="G157" s="34" t="s">
        <v>89</v>
      </c>
      <c r="H157" s="9"/>
    </row>
    <row r="158" spans="1:8" ht="12.75" x14ac:dyDescent="0.15">
      <c r="B158" s="18"/>
      <c r="C158" s="18"/>
      <c r="D158" s="19"/>
      <c r="E158" s="18"/>
      <c r="F158" s="18"/>
      <c r="G158" s="18"/>
    </row>
    <row r="159" spans="1:8" ht="14.25" x14ac:dyDescent="0.15">
      <c r="B159" s="44" t="s">
        <v>58</v>
      </c>
      <c r="C159" s="44" t="s">
        <v>59</v>
      </c>
      <c r="D159" s="44" t="s">
        <v>60</v>
      </c>
      <c r="E159" s="9"/>
    </row>
    <row r="160" spans="1:8" ht="14.25" x14ac:dyDescent="0.15">
      <c r="B160" s="32" t="s">
        <v>81</v>
      </c>
      <c r="C160" s="32" t="s">
        <v>81</v>
      </c>
      <c r="D160" s="32" t="s">
        <v>81</v>
      </c>
      <c r="E160" s="9"/>
    </row>
    <row r="161" spans="2:6" ht="14.25" x14ac:dyDescent="0.15">
      <c r="B161" s="34" t="s">
        <v>81</v>
      </c>
      <c r="C161" s="34" t="s">
        <v>81</v>
      </c>
      <c r="D161" s="35" t="s">
        <v>82</v>
      </c>
      <c r="E161" s="9"/>
    </row>
    <row r="162" spans="2:6" ht="14.25" x14ac:dyDescent="0.15">
      <c r="B162" s="34" t="s">
        <v>87</v>
      </c>
      <c r="C162" s="34" t="s">
        <v>87</v>
      </c>
      <c r="D162" s="34" t="s">
        <v>84</v>
      </c>
      <c r="E162" s="9"/>
    </row>
    <row r="163" spans="2:6" ht="14.25" x14ac:dyDescent="0.15">
      <c r="B163" s="34" t="s">
        <v>86</v>
      </c>
      <c r="C163" s="34" t="s">
        <v>86</v>
      </c>
      <c r="D163" s="34" t="s">
        <v>89</v>
      </c>
      <c r="E163" s="9"/>
    </row>
    <row r="164" spans="2:6" ht="12.75" x14ac:dyDescent="0.15">
      <c r="B164" s="18"/>
      <c r="C164" s="18"/>
      <c r="D164" s="19"/>
    </row>
    <row r="165" spans="2:6" ht="12.75" x14ac:dyDescent="0.15">
      <c r="D165" s="25"/>
    </row>
    <row r="166" spans="2:6" ht="14.25" x14ac:dyDescent="0.15">
      <c r="B166" s="39" t="s">
        <v>68</v>
      </c>
      <c r="C166" s="48" t="s">
        <v>90</v>
      </c>
      <c r="D166" s="48" t="s">
        <v>70</v>
      </c>
      <c r="E166" s="48" t="s">
        <v>91</v>
      </c>
      <c r="F166" s="9"/>
    </row>
    <row r="167" spans="2:6" ht="14.25" x14ac:dyDescent="0.15">
      <c r="B167" s="42" t="s">
        <v>77</v>
      </c>
      <c r="C167" s="41" t="s">
        <v>100</v>
      </c>
      <c r="D167" s="41" t="s">
        <v>101</v>
      </c>
      <c r="E167" s="41" t="s">
        <v>93</v>
      </c>
      <c r="F167" s="9"/>
    </row>
    <row r="168" spans="2:6" ht="12.75" x14ac:dyDescent="0.15">
      <c r="B168" s="18"/>
      <c r="C168" s="18"/>
      <c r="D168" s="19"/>
      <c r="E168" s="18"/>
    </row>
    <row r="169" spans="2:6" ht="12.75" x14ac:dyDescent="0.15">
      <c r="D169" s="25"/>
    </row>
    <row r="170" spans="2:6" ht="12.75" x14ac:dyDescent="0.15">
      <c r="D170" s="25"/>
    </row>
    <row r="171" spans="2:6" ht="12.75" x14ac:dyDescent="0.15">
      <c r="D171" s="25"/>
    </row>
    <row r="172" spans="2:6" ht="12.75" x14ac:dyDescent="0.15">
      <c r="D172" s="25"/>
    </row>
    <row r="173" spans="2:6" ht="12.75" x14ac:dyDescent="0.15">
      <c r="D173" s="25"/>
    </row>
    <row r="174" spans="2:6" ht="12.75" x14ac:dyDescent="0.15">
      <c r="D174" s="25"/>
    </row>
    <row r="175" spans="2:6" ht="12.75" x14ac:dyDescent="0.15">
      <c r="D175" s="25"/>
    </row>
    <row r="176" spans="2:6" ht="12.75" x14ac:dyDescent="0.15">
      <c r="D176" s="25"/>
    </row>
    <row r="177" spans="1:8" ht="12.75" x14ac:dyDescent="0.15">
      <c r="D177" s="25"/>
    </row>
    <row r="178" spans="1:8" ht="12.75" x14ac:dyDescent="0.15">
      <c r="D178" s="25"/>
    </row>
    <row r="179" spans="1:8" ht="12.75" x14ac:dyDescent="0.15">
      <c r="D179" s="25"/>
    </row>
    <row r="180" spans="1:8" ht="17.45" customHeight="1" x14ac:dyDescent="0.2">
      <c r="A180" s="51"/>
      <c r="B180" s="51" t="s">
        <v>102</v>
      </c>
      <c r="D180" s="25"/>
    </row>
    <row r="181" spans="1:8" ht="14.25" x14ac:dyDescent="0.15">
      <c r="B181" s="52" t="s">
        <v>42</v>
      </c>
      <c r="C181" s="52" t="s">
        <v>43</v>
      </c>
      <c r="D181" s="52" t="s">
        <v>44</v>
      </c>
      <c r="E181" s="52" t="s">
        <v>45</v>
      </c>
      <c r="F181" s="52" t="s">
        <v>46</v>
      </c>
      <c r="G181" s="53" t="s">
        <v>47</v>
      </c>
      <c r="H181" s="9"/>
    </row>
    <row r="182" spans="1:8" ht="14.25" x14ac:dyDescent="0.15">
      <c r="B182" s="32" t="s">
        <v>81</v>
      </c>
      <c r="C182" s="32" t="s">
        <v>81</v>
      </c>
      <c r="D182" s="32" t="s">
        <v>81</v>
      </c>
      <c r="E182" s="32" t="s">
        <v>81</v>
      </c>
      <c r="F182" s="32" t="s">
        <v>81</v>
      </c>
      <c r="G182" s="33" t="s">
        <v>81</v>
      </c>
      <c r="H182" s="9"/>
    </row>
    <row r="183" spans="1:8" ht="14.25" x14ac:dyDescent="0.15">
      <c r="B183" s="34" t="s">
        <v>82</v>
      </c>
      <c r="C183" s="34" t="s">
        <v>82</v>
      </c>
      <c r="D183" s="34" t="s">
        <v>82</v>
      </c>
      <c r="E183" s="34" t="s">
        <v>82</v>
      </c>
      <c r="F183" s="34" t="s">
        <v>82</v>
      </c>
      <c r="G183" s="35" t="s">
        <v>82</v>
      </c>
      <c r="H183" s="9"/>
    </row>
    <row r="184" spans="1:8" ht="14.25" x14ac:dyDescent="0.15">
      <c r="B184" s="34" t="s">
        <v>84</v>
      </c>
      <c r="C184" s="34" t="s">
        <v>84</v>
      </c>
      <c r="D184" s="34" t="s">
        <v>84</v>
      </c>
      <c r="E184" s="34" t="s">
        <v>84</v>
      </c>
      <c r="F184" s="34" t="s">
        <v>83</v>
      </c>
      <c r="G184" s="35" t="s">
        <v>83</v>
      </c>
      <c r="H184" s="9"/>
    </row>
    <row r="185" spans="1:8" ht="14.25" x14ac:dyDescent="0.15">
      <c r="B185" s="34" t="s">
        <v>86</v>
      </c>
      <c r="C185" s="34" t="s">
        <v>86</v>
      </c>
      <c r="D185" s="34" t="s">
        <v>86</v>
      </c>
      <c r="E185" s="34" t="s">
        <v>86</v>
      </c>
      <c r="F185" s="34" t="s">
        <v>89</v>
      </c>
      <c r="G185" s="34" t="s">
        <v>89</v>
      </c>
      <c r="H185" s="9"/>
    </row>
    <row r="186" spans="1:8" ht="7.15" customHeight="1" x14ac:dyDescent="0.15">
      <c r="B186" s="18"/>
      <c r="C186" s="18"/>
      <c r="D186" s="19"/>
      <c r="E186" s="18"/>
      <c r="F186" s="18"/>
      <c r="G186" s="18"/>
    </row>
    <row r="187" spans="1:8" ht="14.25" x14ac:dyDescent="0.15">
      <c r="B187" s="52" t="s">
        <v>51</v>
      </c>
      <c r="C187" s="52" t="s">
        <v>52</v>
      </c>
      <c r="D187" s="52" t="s">
        <v>53</v>
      </c>
      <c r="E187" s="9"/>
    </row>
    <row r="188" spans="1:8" ht="14.25" x14ac:dyDescent="0.15">
      <c r="B188" s="32" t="s">
        <v>81</v>
      </c>
      <c r="C188" s="32" t="s">
        <v>81</v>
      </c>
      <c r="D188" s="32" t="s">
        <v>81</v>
      </c>
      <c r="E188" s="9"/>
    </row>
    <row r="189" spans="1:8" ht="14.25" x14ac:dyDescent="0.15">
      <c r="B189" s="34" t="s">
        <v>82</v>
      </c>
      <c r="C189" s="34" t="s">
        <v>82</v>
      </c>
      <c r="D189" s="34" t="s">
        <v>82</v>
      </c>
      <c r="E189" s="9"/>
    </row>
    <row r="190" spans="1:8" ht="14.25" x14ac:dyDescent="0.15">
      <c r="B190" s="34" t="s">
        <v>83</v>
      </c>
      <c r="C190" s="34" t="s">
        <v>83</v>
      </c>
      <c r="D190" s="34" t="s">
        <v>83</v>
      </c>
      <c r="E190" s="9"/>
    </row>
    <row r="191" spans="1:8" ht="14.25" x14ac:dyDescent="0.15">
      <c r="B191" s="34" t="s">
        <v>89</v>
      </c>
      <c r="C191" s="34" t="s">
        <v>89</v>
      </c>
      <c r="D191" s="34" t="s">
        <v>89</v>
      </c>
      <c r="E191" s="9"/>
    </row>
    <row r="192" spans="1:8" ht="12.75" x14ac:dyDescent="0.15">
      <c r="B192" s="18"/>
      <c r="C192" s="18"/>
      <c r="D192" s="19"/>
    </row>
    <row r="193" spans="1:8" ht="17.45" customHeight="1" x14ac:dyDescent="0.2">
      <c r="A193" s="51"/>
      <c r="B193" s="51" t="s">
        <v>103</v>
      </c>
      <c r="D193" s="25"/>
    </row>
    <row r="194" spans="1:8" ht="14.25" x14ac:dyDescent="0.15">
      <c r="B194" s="52" t="s">
        <v>42</v>
      </c>
      <c r="C194" s="52" t="s">
        <v>43</v>
      </c>
      <c r="D194" s="52" t="s">
        <v>44</v>
      </c>
      <c r="E194" s="52" t="s">
        <v>45</v>
      </c>
      <c r="F194" s="52" t="s">
        <v>46</v>
      </c>
      <c r="G194" s="53" t="s">
        <v>47</v>
      </c>
      <c r="H194" s="9"/>
    </row>
    <row r="195" spans="1:8" ht="14.25" x14ac:dyDescent="0.15">
      <c r="B195" s="32" t="s">
        <v>81</v>
      </c>
      <c r="C195" s="32" t="s">
        <v>81</v>
      </c>
      <c r="D195" s="32" t="s">
        <v>81</v>
      </c>
      <c r="E195" s="32" t="s">
        <v>81</v>
      </c>
      <c r="F195" s="32" t="s">
        <v>81</v>
      </c>
      <c r="G195" s="33" t="s">
        <v>81</v>
      </c>
      <c r="H195" s="9"/>
    </row>
    <row r="196" spans="1:8" ht="14.25" x14ac:dyDescent="0.15">
      <c r="B196" s="34" t="s">
        <v>82</v>
      </c>
      <c r="C196" s="34" t="s">
        <v>82</v>
      </c>
      <c r="D196" s="34" t="s">
        <v>82</v>
      </c>
      <c r="E196" s="34" t="s">
        <v>82</v>
      </c>
      <c r="F196" s="34" t="s">
        <v>82</v>
      </c>
      <c r="G196" s="35" t="s">
        <v>82</v>
      </c>
      <c r="H196" s="9"/>
    </row>
    <row r="197" spans="1:8" ht="14.25" x14ac:dyDescent="0.15">
      <c r="B197" s="34" t="s">
        <v>84</v>
      </c>
      <c r="C197" s="34" t="s">
        <v>84</v>
      </c>
      <c r="D197" s="34" t="s">
        <v>84</v>
      </c>
      <c r="E197" s="34" t="s">
        <v>83</v>
      </c>
      <c r="F197" s="34" t="s">
        <v>83</v>
      </c>
      <c r="G197" s="35" t="s">
        <v>83</v>
      </c>
      <c r="H197" s="9"/>
    </row>
    <row r="198" spans="1:8" ht="14.25" x14ac:dyDescent="0.15">
      <c r="B198" s="34" t="s">
        <v>86</v>
      </c>
      <c r="C198" s="34" t="s">
        <v>86</v>
      </c>
      <c r="D198" s="34" t="s">
        <v>86</v>
      </c>
      <c r="E198" s="34" t="s">
        <v>89</v>
      </c>
      <c r="F198" s="34" t="s">
        <v>89</v>
      </c>
      <c r="G198" s="34" t="s">
        <v>89</v>
      </c>
      <c r="H198" s="9"/>
    </row>
    <row r="199" spans="1:8" ht="12.75" x14ac:dyDescent="0.15">
      <c r="B199" s="18"/>
      <c r="C199" s="18"/>
      <c r="D199" s="19"/>
      <c r="E199" s="18"/>
      <c r="F199" s="18"/>
      <c r="G199" s="18"/>
    </row>
    <row r="200" spans="1:8" ht="17.45" customHeight="1" x14ac:dyDescent="0.2">
      <c r="A200" s="51"/>
      <c r="B200" s="51" t="s">
        <v>104</v>
      </c>
      <c r="D200" s="25"/>
    </row>
    <row r="201" spans="1:8" ht="14.25" x14ac:dyDescent="0.15">
      <c r="B201" s="52" t="s">
        <v>42</v>
      </c>
      <c r="C201" s="52" t="s">
        <v>43</v>
      </c>
      <c r="D201" s="52" t="s">
        <v>44</v>
      </c>
      <c r="E201" s="52" t="s">
        <v>45</v>
      </c>
      <c r="F201" s="52" t="s">
        <v>46</v>
      </c>
      <c r="G201" s="53" t="s">
        <v>47</v>
      </c>
      <c r="H201" s="9"/>
    </row>
    <row r="202" spans="1:8" ht="14.25" x14ac:dyDescent="0.15">
      <c r="B202" s="32" t="s">
        <v>81</v>
      </c>
      <c r="C202" s="32" t="s">
        <v>81</v>
      </c>
      <c r="D202" s="32" t="s">
        <v>81</v>
      </c>
      <c r="E202" s="32" t="s">
        <v>81</v>
      </c>
      <c r="F202" s="32" t="s">
        <v>81</v>
      </c>
      <c r="G202" s="33" t="s">
        <v>81</v>
      </c>
      <c r="H202" s="9"/>
    </row>
    <row r="203" spans="1:8" ht="14.25" x14ac:dyDescent="0.15">
      <c r="B203" s="34" t="s">
        <v>82</v>
      </c>
      <c r="C203" s="34" t="s">
        <v>82</v>
      </c>
      <c r="D203" s="34" t="s">
        <v>82</v>
      </c>
      <c r="E203" s="34" t="s">
        <v>82</v>
      </c>
      <c r="F203" s="34" t="s">
        <v>82</v>
      </c>
      <c r="G203" s="35" t="s">
        <v>82</v>
      </c>
      <c r="H203" s="9"/>
    </row>
    <row r="204" spans="1:8" ht="14.25" x14ac:dyDescent="0.15">
      <c r="B204" s="34" t="s">
        <v>84</v>
      </c>
      <c r="C204" s="34" t="s">
        <v>84</v>
      </c>
      <c r="D204" s="34" t="s">
        <v>84</v>
      </c>
      <c r="E204" s="34" t="s">
        <v>84</v>
      </c>
      <c r="F204" s="34" t="s">
        <v>84</v>
      </c>
      <c r="G204" s="35" t="s">
        <v>84</v>
      </c>
      <c r="H204" s="9"/>
    </row>
    <row r="205" spans="1:8" ht="14.25" x14ac:dyDescent="0.15">
      <c r="B205" s="34" t="s">
        <v>86</v>
      </c>
      <c r="C205" s="34" t="s">
        <v>86</v>
      </c>
      <c r="D205" s="34" t="s">
        <v>86</v>
      </c>
      <c r="E205" s="34" t="s">
        <v>86</v>
      </c>
      <c r="F205" s="34" t="s">
        <v>86</v>
      </c>
      <c r="G205" s="35" t="s">
        <v>86</v>
      </c>
      <c r="H205" s="9"/>
    </row>
    <row r="206" spans="1:8" ht="7.15" customHeight="1" x14ac:dyDescent="0.15">
      <c r="B206" s="18"/>
      <c r="C206" s="18"/>
      <c r="D206" s="19"/>
      <c r="E206" s="18"/>
      <c r="F206" s="18"/>
      <c r="G206" s="18"/>
    </row>
    <row r="207" spans="1:8" ht="14.25" x14ac:dyDescent="0.15">
      <c r="B207" s="52" t="s">
        <v>51</v>
      </c>
      <c r="C207" s="52" t="s">
        <v>52</v>
      </c>
      <c r="D207" s="52" t="s">
        <v>53</v>
      </c>
      <c r="E207" s="52" t="s">
        <v>54</v>
      </c>
      <c r="F207" s="52" t="s">
        <v>55</v>
      </c>
      <c r="G207" s="53" t="s">
        <v>56</v>
      </c>
      <c r="H207" s="9"/>
    </row>
    <row r="208" spans="1:8" ht="14.25" x14ac:dyDescent="0.15">
      <c r="B208" s="32" t="s">
        <v>81</v>
      </c>
      <c r="C208" s="32" t="s">
        <v>81</v>
      </c>
      <c r="D208" s="32" t="s">
        <v>81</v>
      </c>
      <c r="E208" s="32" t="s">
        <v>81</v>
      </c>
      <c r="F208" s="32" t="s">
        <v>81</v>
      </c>
      <c r="G208" s="33" t="s">
        <v>81</v>
      </c>
      <c r="H208" s="9"/>
    </row>
    <row r="209" spans="1:8" ht="14.25" x14ac:dyDescent="0.15">
      <c r="B209" s="34" t="s">
        <v>82</v>
      </c>
      <c r="C209" s="34" t="s">
        <v>82</v>
      </c>
      <c r="D209" s="34" t="s">
        <v>82</v>
      </c>
      <c r="E209" s="34" t="s">
        <v>82</v>
      </c>
      <c r="F209" s="34" t="s">
        <v>82</v>
      </c>
      <c r="G209" s="35" t="s">
        <v>82</v>
      </c>
      <c r="H209" s="9"/>
    </row>
    <row r="210" spans="1:8" ht="14.25" x14ac:dyDescent="0.15">
      <c r="B210" s="34" t="s">
        <v>83</v>
      </c>
      <c r="C210" s="34" t="s">
        <v>83</v>
      </c>
      <c r="D210" s="34" t="s">
        <v>83</v>
      </c>
      <c r="E210" s="34" t="s">
        <v>83</v>
      </c>
      <c r="F210" s="34" t="s">
        <v>83</v>
      </c>
      <c r="G210" s="35" t="s">
        <v>83</v>
      </c>
      <c r="H210" s="9"/>
    </row>
    <row r="211" spans="1:8" ht="14.25" x14ac:dyDescent="0.15">
      <c r="B211" s="34" t="s">
        <v>89</v>
      </c>
      <c r="C211" s="34" t="s">
        <v>89</v>
      </c>
      <c r="D211" s="34" t="s">
        <v>89</v>
      </c>
      <c r="E211" s="34" t="s">
        <v>89</v>
      </c>
      <c r="F211" s="34" t="s">
        <v>89</v>
      </c>
      <c r="G211" s="34" t="s">
        <v>89</v>
      </c>
      <c r="H211" s="9"/>
    </row>
    <row r="212" spans="1:8" ht="14.25" x14ac:dyDescent="0.15">
      <c r="B212" s="46"/>
      <c r="C212" s="46"/>
      <c r="D212" s="46"/>
      <c r="E212" s="46"/>
      <c r="F212" s="46"/>
      <c r="G212" s="47"/>
    </row>
    <row r="213" spans="1:8" ht="14.25" x14ac:dyDescent="0.15">
      <c r="B213" s="39" t="s">
        <v>68</v>
      </c>
      <c r="C213" s="54" t="s">
        <v>90</v>
      </c>
      <c r="D213" s="54" t="s">
        <v>70</v>
      </c>
      <c r="E213" s="54" t="s">
        <v>91</v>
      </c>
      <c r="F213" s="9"/>
    </row>
    <row r="214" spans="1:8" ht="14.25" x14ac:dyDescent="0.15">
      <c r="B214" s="41" t="s">
        <v>71</v>
      </c>
      <c r="C214" s="41" t="s">
        <v>105</v>
      </c>
      <c r="D214" s="41" t="s">
        <v>106</v>
      </c>
      <c r="E214" s="41" t="s">
        <v>106</v>
      </c>
      <c r="F214" s="9"/>
    </row>
    <row r="215" spans="1:8" ht="14.25" x14ac:dyDescent="0.15">
      <c r="B215" s="42" t="s">
        <v>74</v>
      </c>
      <c r="C215" s="42" t="s">
        <v>107</v>
      </c>
      <c r="D215" s="42" t="s">
        <v>108</v>
      </c>
      <c r="E215" s="42" t="s">
        <v>108</v>
      </c>
      <c r="F215" s="9"/>
    </row>
    <row r="216" spans="1:8" ht="14.25" x14ac:dyDescent="0.15">
      <c r="B216" s="42" t="s">
        <v>77</v>
      </c>
      <c r="C216" s="42" t="s">
        <v>109</v>
      </c>
      <c r="D216" s="42" t="s">
        <v>107</v>
      </c>
      <c r="E216" s="42" t="s">
        <v>107</v>
      </c>
      <c r="F216" s="9"/>
    </row>
    <row r="217" spans="1:8" ht="12.75" x14ac:dyDescent="0.15">
      <c r="B217" s="18"/>
      <c r="C217" s="18"/>
      <c r="D217" s="19"/>
      <c r="E217" s="18"/>
    </row>
    <row r="218" spans="1:8" ht="17.45" customHeight="1" x14ac:dyDescent="0.2">
      <c r="A218" s="55"/>
      <c r="B218" s="55" t="s">
        <v>110</v>
      </c>
      <c r="D218" s="25"/>
    </row>
    <row r="219" spans="1:8" ht="12.75" x14ac:dyDescent="0.15">
      <c r="D219" s="25"/>
    </row>
    <row r="220" spans="1:8" ht="14.25" x14ac:dyDescent="0.15">
      <c r="B220" s="56" t="s">
        <v>42</v>
      </c>
      <c r="C220" s="56" t="s">
        <v>43</v>
      </c>
      <c r="D220" s="56" t="s">
        <v>44</v>
      </c>
      <c r="E220" s="56" t="s">
        <v>45</v>
      </c>
      <c r="F220" s="56" t="s">
        <v>46</v>
      </c>
      <c r="G220" s="57" t="s">
        <v>47</v>
      </c>
      <c r="H220" s="9"/>
    </row>
    <row r="221" spans="1:8" ht="14.25" x14ac:dyDescent="0.15">
      <c r="B221" s="32" t="s">
        <v>81</v>
      </c>
      <c r="C221" s="32" t="s">
        <v>81</v>
      </c>
      <c r="D221" s="32" t="s">
        <v>82</v>
      </c>
      <c r="E221" s="32" t="s">
        <v>82</v>
      </c>
      <c r="F221" s="32" t="s">
        <v>82</v>
      </c>
      <c r="G221" s="33" t="s">
        <v>82</v>
      </c>
      <c r="H221" s="9"/>
    </row>
    <row r="222" spans="1:8" ht="14.25" x14ac:dyDescent="0.15">
      <c r="B222" s="34" t="s">
        <v>82</v>
      </c>
      <c r="C222" s="34" t="s">
        <v>82</v>
      </c>
      <c r="D222" s="34" t="s">
        <v>82</v>
      </c>
      <c r="E222" s="34" t="s">
        <v>82</v>
      </c>
      <c r="F222" s="34" t="s">
        <v>82</v>
      </c>
      <c r="G222" s="35" t="s">
        <v>82</v>
      </c>
      <c r="H222" s="9"/>
    </row>
    <row r="223" spans="1:8" ht="14.25" x14ac:dyDescent="0.15">
      <c r="B223" s="34" t="s">
        <v>84</v>
      </c>
      <c r="C223" s="34" t="s">
        <v>83</v>
      </c>
      <c r="D223" s="34" t="s">
        <v>83</v>
      </c>
      <c r="E223" s="34" t="s">
        <v>83</v>
      </c>
      <c r="F223" s="34" t="s">
        <v>83</v>
      </c>
      <c r="G223" s="35" t="s">
        <v>83</v>
      </c>
      <c r="H223" s="9"/>
    </row>
    <row r="224" spans="1:8" ht="14.25" x14ac:dyDescent="0.15">
      <c r="B224" s="34" t="s">
        <v>86</v>
      </c>
      <c r="C224" s="34" t="s">
        <v>89</v>
      </c>
      <c r="D224" s="34" t="s">
        <v>89</v>
      </c>
      <c r="E224" s="34" t="s">
        <v>89</v>
      </c>
      <c r="F224" s="34" t="s">
        <v>89</v>
      </c>
      <c r="G224" s="34" t="s">
        <v>89</v>
      </c>
      <c r="H224" s="9"/>
    </row>
    <row r="225" spans="1:8" ht="12.75" x14ac:dyDescent="0.15">
      <c r="B225" s="18"/>
      <c r="C225" s="18"/>
      <c r="D225" s="19"/>
      <c r="E225" s="18"/>
      <c r="F225" s="18"/>
      <c r="G225" s="18"/>
    </row>
    <row r="226" spans="1:8" ht="17.45" customHeight="1" x14ac:dyDescent="0.2">
      <c r="A226" s="55"/>
      <c r="B226" s="55" t="s">
        <v>111</v>
      </c>
      <c r="D226" s="25"/>
    </row>
    <row r="227" spans="1:8" ht="12.75" x14ac:dyDescent="0.15">
      <c r="D227" s="25"/>
    </row>
    <row r="228" spans="1:8" ht="14.25" x14ac:dyDescent="0.15">
      <c r="B228" s="56" t="s">
        <v>42</v>
      </c>
      <c r="C228" s="56" t="s">
        <v>43</v>
      </c>
      <c r="D228" s="56" t="s">
        <v>44</v>
      </c>
      <c r="E228" s="56" t="s">
        <v>45</v>
      </c>
      <c r="F228" s="9"/>
    </row>
    <row r="229" spans="1:8" ht="14.25" x14ac:dyDescent="0.15">
      <c r="B229" s="32" t="s">
        <v>81</v>
      </c>
      <c r="C229" s="32" t="s">
        <v>81</v>
      </c>
      <c r="D229" s="32" t="s">
        <v>82</v>
      </c>
      <c r="E229" s="32" t="s">
        <v>82</v>
      </c>
      <c r="F229" s="9"/>
    </row>
    <row r="230" spans="1:8" ht="14.25" x14ac:dyDescent="0.15">
      <c r="B230" s="34" t="s">
        <v>82</v>
      </c>
      <c r="C230" s="34" t="s">
        <v>82</v>
      </c>
      <c r="D230" s="34" t="s">
        <v>82</v>
      </c>
      <c r="E230" s="34" t="s">
        <v>82</v>
      </c>
      <c r="F230" s="9"/>
    </row>
    <row r="231" spans="1:8" ht="14.25" x14ac:dyDescent="0.15">
      <c r="B231" s="34" t="s">
        <v>84</v>
      </c>
      <c r="C231" s="34" t="s">
        <v>83</v>
      </c>
      <c r="D231" s="34" t="s">
        <v>83</v>
      </c>
      <c r="E231" s="34" t="s">
        <v>83</v>
      </c>
      <c r="F231" s="9"/>
    </row>
    <row r="232" spans="1:8" ht="14.25" x14ac:dyDescent="0.15">
      <c r="B232" s="34" t="s">
        <v>86</v>
      </c>
      <c r="C232" s="34" t="s">
        <v>89</v>
      </c>
      <c r="D232" s="34" t="s">
        <v>89</v>
      </c>
      <c r="E232" s="34" t="s">
        <v>89</v>
      </c>
      <c r="F232" s="9"/>
    </row>
    <row r="233" spans="1:8" ht="12.75" x14ac:dyDescent="0.15">
      <c r="B233" s="18"/>
      <c r="C233" s="18"/>
      <c r="D233" s="19"/>
      <c r="E233" s="18"/>
    </row>
    <row r="234" spans="1:8" ht="17.45" customHeight="1" x14ac:dyDescent="0.2">
      <c r="A234" s="55"/>
      <c r="B234" s="55" t="s">
        <v>112</v>
      </c>
      <c r="D234" s="25"/>
    </row>
    <row r="235" spans="1:8" ht="12.75" x14ac:dyDescent="0.15">
      <c r="D235" s="25"/>
    </row>
    <row r="236" spans="1:8" ht="14.25" x14ac:dyDescent="0.15">
      <c r="B236" s="56" t="s">
        <v>42</v>
      </c>
      <c r="C236" s="56" t="s">
        <v>43</v>
      </c>
      <c r="D236" s="56" t="s">
        <v>44</v>
      </c>
      <c r="E236" s="56" t="s">
        <v>45</v>
      </c>
      <c r="F236" s="56" t="s">
        <v>46</v>
      </c>
      <c r="G236" s="57" t="s">
        <v>47</v>
      </c>
      <c r="H236" s="9"/>
    </row>
    <row r="237" spans="1:8" ht="14.25" x14ac:dyDescent="0.15">
      <c r="B237" s="32" t="s">
        <v>81</v>
      </c>
      <c r="C237" s="32" t="s">
        <v>81</v>
      </c>
      <c r="D237" s="32" t="s">
        <v>81</v>
      </c>
      <c r="E237" s="32" t="s">
        <v>82</v>
      </c>
      <c r="F237" s="32" t="s">
        <v>82</v>
      </c>
      <c r="G237" s="33" t="s">
        <v>82</v>
      </c>
      <c r="H237" s="9"/>
    </row>
    <row r="238" spans="1:8" ht="14.25" x14ac:dyDescent="0.15">
      <c r="B238" s="34" t="s">
        <v>82</v>
      </c>
      <c r="C238" s="34" t="s">
        <v>82</v>
      </c>
      <c r="D238" s="34" t="s">
        <v>82</v>
      </c>
      <c r="E238" s="34" t="s">
        <v>82</v>
      </c>
      <c r="F238" s="34" t="s">
        <v>82</v>
      </c>
      <c r="G238" s="35" t="s">
        <v>82</v>
      </c>
      <c r="H238" s="9"/>
    </row>
    <row r="239" spans="1:8" ht="14.25" x14ac:dyDescent="0.15">
      <c r="B239" s="34" t="s">
        <v>84</v>
      </c>
      <c r="C239" s="34" t="s">
        <v>84</v>
      </c>
      <c r="D239" s="34" t="s">
        <v>83</v>
      </c>
      <c r="E239" s="34" t="s">
        <v>83</v>
      </c>
      <c r="F239" s="34" t="s">
        <v>83</v>
      </c>
      <c r="G239" s="35" t="s">
        <v>83</v>
      </c>
      <c r="H239" s="9"/>
    </row>
    <row r="240" spans="1:8" ht="14.25" x14ac:dyDescent="0.15">
      <c r="B240" s="34" t="s">
        <v>86</v>
      </c>
      <c r="C240" s="34" t="s">
        <v>86</v>
      </c>
      <c r="D240" s="34" t="s">
        <v>86</v>
      </c>
      <c r="E240" s="34" t="s">
        <v>89</v>
      </c>
      <c r="F240" s="34" t="s">
        <v>89</v>
      </c>
      <c r="G240" s="34" t="s">
        <v>89</v>
      </c>
      <c r="H240" s="9"/>
    </row>
    <row r="241" spans="1:8" ht="12.75" x14ac:dyDescent="0.15">
      <c r="B241" s="18"/>
      <c r="C241" s="18"/>
      <c r="D241" s="19"/>
      <c r="E241" s="18"/>
      <c r="F241" s="18"/>
      <c r="G241" s="18"/>
    </row>
    <row r="242" spans="1:8" ht="14.25" x14ac:dyDescent="0.15">
      <c r="B242" s="56" t="s">
        <v>51</v>
      </c>
      <c r="C242" s="56" t="s">
        <v>52</v>
      </c>
      <c r="D242" s="38"/>
    </row>
    <row r="243" spans="1:8" ht="14.25" x14ac:dyDescent="0.15">
      <c r="B243" s="34" t="s">
        <v>82</v>
      </c>
      <c r="C243" s="34" t="s">
        <v>82</v>
      </c>
      <c r="D243" s="38"/>
    </row>
    <row r="244" spans="1:8" ht="14.25" x14ac:dyDescent="0.15">
      <c r="B244" s="34" t="s">
        <v>82</v>
      </c>
      <c r="C244" s="34" t="s">
        <v>82</v>
      </c>
      <c r="D244" s="38"/>
    </row>
    <row r="245" spans="1:8" ht="14.25" x14ac:dyDescent="0.15">
      <c r="B245" s="34" t="s">
        <v>83</v>
      </c>
      <c r="C245" s="34" t="s">
        <v>83</v>
      </c>
      <c r="D245" s="38"/>
    </row>
    <row r="246" spans="1:8" ht="14.25" x14ac:dyDescent="0.15">
      <c r="B246" s="34" t="s">
        <v>89</v>
      </c>
      <c r="C246" s="34" t="s">
        <v>89</v>
      </c>
      <c r="D246" s="38"/>
    </row>
    <row r="247" spans="1:8" ht="12.75" x14ac:dyDescent="0.15">
      <c r="B247" s="58"/>
      <c r="C247" s="58"/>
      <c r="D247" s="25"/>
    </row>
    <row r="248" spans="1:8" ht="12.75" x14ac:dyDescent="0.15">
      <c r="D248" s="25"/>
    </row>
    <row r="249" spans="1:8" ht="14.25" x14ac:dyDescent="0.15">
      <c r="B249" s="39" t="s">
        <v>68</v>
      </c>
      <c r="C249" s="59" t="s">
        <v>90</v>
      </c>
      <c r="D249" s="59" t="s">
        <v>70</v>
      </c>
      <c r="E249" s="59" t="s">
        <v>91</v>
      </c>
      <c r="F249" s="9"/>
    </row>
    <row r="250" spans="1:8" ht="14.25" x14ac:dyDescent="0.15">
      <c r="B250" s="41" t="s">
        <v>71</v>
      </c>
      <c r="C250" s="41" t="s">
        <v>113</v>
      </c>
      <c r="D250" s="41" t="s">
        <v>114</v>
      </c>
      <c r="E250" s="41" t="s">
        <v>114</v>
      </c>
      <c r="F250" s="9"/>
    </row>
    <row r="251" spans="1:8" ht="14.25" x14ac:dyDescent="0.15">
      <c r="B251" s="42" t="s">
        <v>74</v>
      </c>
      <c r="C251" s="42" t="s">
        <v>115</v>
      </c>
      <c r="D251" s="42" t="s">
        <v>116</v>
      </c>
      <c r="E251" s="42" t="s">
        <v>116</v>
      </c>
      <c r="F251" s="9"/>
    </row>
    <row r="252" spans="1:8" ht="14.25" x14ac:dyDescent="0.15">
      <c r="B252" s="42" t="s">
        <v>77</v>
      </c>
      <c r="C252" s="42" t="s">
        <v>117</v>
      </c>
      <c r="D252" s="42" t="s">
        <v>115</v>
      </c>
      <c r="E252" s="42" t="s">
        <v>115</v>
      </c>
      <c r="F252" s="9"/>
    </row>
    <row r="253" spans="1:8" ht="12.75" x14ac:dyDescent="0.15">
      <c r="B253" s="18"/>
      <c r="C253" s="18"/>
      <c r="D253" s="19"/>
      <c r="E253" s="18"/>
    </row>
    <row r="254" spans="1:8" ht="17.45" customHeight="1" x14ac:dyDescent="0.2">
      <c r="A254" s="60"/>
      <c r="B254" s="60" t="s">
        <v>118</v>
      </c>
      <c r="D254" s="25"/>
    </row>
    <row r="255" spans="1:8" ht="12.75" x14ac:dyDescent="0.15">
      <c r="D255" s="25"/>
    </row>
    <row r="256" spans="1:8" ht="14.25" x14ac:dyDescent="0.15">
      <c r="B256" s="44" t="s">
        <v>42</v>
      </c>
      <c r="C256" s="44" t="s">
        <v>43</v>
      </c>
      <c r="D256" s="44" t="s">
        <v>44</v>
      </c>
      <c r="E256" s="44" t="s">
        <v>45</v>
      </c>
      <c r="F256" s="44" t="s">
        <v>46</v>
      </c>
      <c r="G256" s="45" t="s">
        <v>47</v>
      </c>
      <c r="H256" s="9"/>
    </row>
    <row r="257" spans="1:8" ht="14.25" x14ac:dyDescent="0.15">
      <c r="B257" s="32" t="s">
        <v>81</v>
      </c>
      <c r="C257" s="32" t="s">
        <v>81</v>
      </c>
      <c r="D257" s="32" t="s">
        <v>81</v>
      </c>
      <c r="E257" s="32" t="s">
        <v>81</v>
      </c>
      <c r="F257" s="32" t="s">
        <v>81</v>
      </c>
      <c r="G257" s="33" t="s">
        <v>81</v>
      </c>
      <c r="H257" s="9"/>
    </row>
    <row r="258" spans="1:8" ht="14.25" x14ac:dyDescent="0.15">
      <c r="B258" s="34" t="s">
        <v>81</v>
      </c>
      <c r="C258" s="34" t="s">
        <v>81</v>
      </c>
      <c r="D258" s="34" t="s">
        <v>81</v>
      </c>
      <c r="E258" s="34" t="s">
        <v>82</v>
      </c>
      <c r="F258" s="34" t="s">
        <v>82</v>
      </c>
      <c r="G258" s="35" t="s">
        <v>82</v>
      </c>
      <c r="H258" s="9"/>
    </row>
    <row r="259" spans="1:8" ht="14.25" x14ac:dyDescent="0.15">
      <c r="B259" s="34" t="s">
        <v>82</v>
      </c>
      <c r="C259" s="34" t="s">
        <v>82</v>
      </c>
      <c r="D259" s="34" t="s">
        <v>82</v>
      </c>
      <c r="E259" s="34" t="s">
        <v>83</v>
      </c>
      <c r="F259" s="34" t="s">
        <v>84</v>
      </c>
      <c r="G259" s="35" t="s">
        <v>84</v>
      </c>
      <c r="H259" s="9"/>
    </row>
    <row r="260" spans="1:8" ht="14.25" x14ac:dyDescent="0.15">
      <c r="B260" s="34" t="s">
        <v>83</v>
      </c>
      <c r="C260" s="34" t="s">
        <v>83</v>
      </c>
      <c r="D260" s="34" t="s">
        <v>83</v>
      </c>
      <c r="E260" s="34" t="s">
        <v>119</v>
      </c>
      <c r="F260" s="34" t="s">
        <v>119</v>
      </c>
      <c r="G260" s="35" t="s">
        <v>120</v>
      </c>
      <c r="H260" s="9"/>
    </row>
    <row r="261" spans="1:8" ht="12.75" x14ac:dyDescent="0.15">
      <c r="B261" s="18"/>
      <c r="C261" s="18"/>
      <c r="D261" s="19"/>
      <c r="E261" s="18"/>
      <c r="F261" s="18"/>
      <c r="G261" s="18"/>
    </row>
    <row r="262" spans="1:8" ht="14.25" x14ac:dyDescent="0.15">
      <c r="B262" s="44" t="s">
        <v>51</v>
      </c>
      <c r="C262" s="44" t="s">
        <v>52</v>
      </c>
      <c r="D262" s="44" t="s">
        <v>53</v>
      </c>
      <c r="E262" s="44" t="s">
        <v>54</v>
      </c>
      <c r="F262" s="44" t="s">
        <v>55</v>
      </c>
      <c r="G262" s="45" t="s">
        <v>56</v>
      </c>
      <c r="H262" s="9"/>
    </row>
    <row r="263" spans="1:8" ht="14.25" x14ac:dyDescent="0.15">
      <c r="B263" s="32" t="s">
        <v>81</v>
      </c>
      <c r="C263" s="32" t="s">
        <v>81</v>
      </c>
      <c r="D263" s="32" t="s">
        <v>81</v>
      </c>
      <c r="E263" s="32" t="s">
        <v>81</v>
      </c>
      <c r="F263" s="32" t="s">
        <v>81</v>
      </c>
      <c r="G263" s="33" t="s">
        <v>81</v>
      </c>
      <c r="H263" s="9"/>
    </row>
    <row r="264" spans="1:8" ht="14.25" x14ac:dyDescent="0.15">
      <c r="B264" s="34" t="s">
        <v>82</v>
      </c>
      <c r="C264" s="34" t="s">
        <v>82</v>
      </c>
      <c r="D264" s="34" t="s">
        <v>81</v>
      </c>
      <c r="E264" s="34" t="s">
        <v>81</v>
      </c>
      <c r="F264" s="34" t="s">
        <v>81</v>
      </c>
      <c r="G264" s="35" t="s">
        <v>81</v>
      </c>
      <c r="H264" s="9"/>
    </row>
    <row r="265" spans="1:8" ht="14.25" x14ac:dyDescent="0.15">
      <c r="B265" s="34" t="s">
        <v>84</v>
      </c>
      <c r="C265" s="34" t="s">
        <v>84</v>
      </c>
      <c r="D265" s="34" t="s">
        <v>84</v>
      </c>
      <c r="E265" s="34" t="s">
        <v>84</v>
      </c>
      <c r="F265" s="34" t="s">
        <v>84</v>
      </c>
      <c r="G265" s="35" t="s">
        <v>84</v>
      </c>
      <c r="H265" s="9"/>
    </row>
    <row r="266" spans="1:8" ht="14.25" x14ac:dyDescent="0.15">
      <c r="B266" s="34" t="s">
        <v>121</v>
      </c>
      <c r="C266" s="34" t="s">
        <v>121</v>
      </c>
      <c r="D266" s="34" t="s">
        <v>122</v>
      </c>
      <c r="E266" s="34" t="s">
        <v>123</v>
      </c>
      <c r="F266" s="34" t="s">
        <v>123</v>
      </c>
      <c r="G266" s="35" t="s">
        <v>124</v>
      </c>
      <c r="H266" s="9"/>
    </row>
    <row r="267" spans="1:8" ht="12.75" x14ac:dyDescent="0.15">
      <c r="B267" s="18"/>
      <c r="C267" s="18"/>
      <c r="D267" s="19"/>
      <c r="E267" s="18"/>
      <c r="F267" s="18"/>
      <c r="G267" s="18"/>
    </row>
    <row r="268" spans="1:8" ht="12.75" x14ac:dyDescent="0.15">
      <c r="D268" s="25"/>
    </row>
    <row r="269" spans="1:8" ht="14.25" x14ac:dyDescent="0.15">
      <c r="B269" s="39" t="s">
        <v>68</v>
      </c>
      <c r="C269" s="48" t="s">
        <v>90</v>
      </c>
      <c r="D269" s="48" t="s">
        <v>70</v>
      </c>
      <c r="E269" s="48" t="s">
        <v>125</v>
      </c>
      <c r="F269" s="48" t="s">
        <v>126</v>
      </c>
      <c r="G269" s="48" t="s">
        <v>127</v>
      </c>
      <c r="H269" s="9"/>
    </row>
    <row r="270" spans="1:8" ht="14.25" x14ac:dyDescent="0.15">
      <c r="B270" s="41" t="s">
        <v>71</v>
      </c>
      <c r="C270" s="41" t="s">
        <v>92</v>
      </c>
      <c r="D270" s="41" t="s">
        <v>93</v>
      </c>
      <c r="E270" s="41" t="s">
        <v>128</v>
      </c>
      <c r="F270" s="41" t="s">
        <v>128</v>
      </c>
      <c r="G270" s="41" t="s">
        <v>128</v>
      </c>
      <c r="H270" s="9"/>
    </row>
    <row r="271" spans="1:8" ht="14.25" x14ac:dyDescent="0.15">
      <c r="B271" s="49"/>
      <c r="C271" s="49"/>
      <c r="D271" s="61"/>
      <c r="E271" s="49"/>
      <c r="F271" s="49"/>
      <c r="G271" s="62"/>
      <c r="H271" s="63"/>
    </row>
    <row r="272" spans="1:8" ht="17.45" customHeight="1" x14ac:dyDescent="0.2">
      <c r="A272" s="60"/>
      <c r="B272" s="60" t="s">
        <v>129</v>
      </c>
      <c r="D272" s="25"/>
    </row>
    <row r="273" spans="2:8" ht="12.75" x14ac:dyDescent="0.15">
      <c r="D273" s="25"/>
    </row>
    <row r="274" spans="2:8" ht="14.25" x14ac:dyDescent="0.15">
      <c r="B274" s="44" t="s">
        <v>42</v>
      </c>
      <c r="C274" s="44" t="s">
        <v>43</v>
      </c>
      <c r="D274" s="44" t="s">
        <v>44</v>
      </c>
      <c r="E274" s="44" t="s">
        <v>45</v>
      </c>
      <c r="F274" s="44" t="s">
        <v>46</v>
      </c>
      <c r="G274" s="45" t="s">
        <v>47</v>
      </c>
      <c r="H274" s="9"/>
    </row>
    <row r="275" spans="2:8" ht="14.25" x14ac:dyDescent="0.15">
      <c r="B275" s="32" t="s">
        <v>81</v>
      </c>
      <c r="C275" s="32" t="s">
        <v>81</v>
      </c>
      <c r="D275" s="32" t="s">
        <v>81</v>
      </c>
      <c r="E275" s="32" t="s">
        <v>81</v>
      </c>
      <c r="F275" s="32" t="s">
        <v>81</v>
      </c>
      <c r="G275" s="32" t="s">
        <v>81</v>
      </c>
      <c r="H275" s="9"/>
    </row>
    <row r="276" spans="2:8" ht="14.25" x14ac:dyDescent="0.15">
      <c r="B276" s="34" t="s">
        <v>81</v>
      </c>
      <c r="C276" s="34" t="s">
        <v>81</v>
      </c>
      <c r="D276" s="34" t="s">
        <v>81</v>
      </c>
      <c r="E276" s="34" t="s">
        <v>81</v>
      </c>
      <c r="F276" s="34" t="s">
        <v>81</v>
      </c>
      <c r="G276" s="34" t="s">
        <v>82</v>
      </c>
      <c r="H276" s="9"/>
    </row>
    <row r="277" spans="2:8" ht="14.25" x14ac:dyDescent="0.15">
      <c r="B277" s="34" t="s">
        <v>82</v>
      </c>
      <c r="C277" s="34" t="s">
        <v>82</v>
      </c>
      <c r="D277" s="34" t="s">
        <v>84</v>
      </c>
      <c r="E277" s="34" t="s">
        <v>84</v>
      </c>
      <c r="F277" s="34" t="s">
        <v>84</v>
      </c>
      <c r="G277" s="34" t="s">
        <v>84</v>
      </c>
      <c r="H277" s="9"/>
    </row>
    <row r="278" spans="2:8" ht="14.25" x14ac:dyDescent="0.15">
      <c r="B278" s="34" t="s">
        <v>83</v>
      </c>
      <c r="C278" s="34" t="s">
        <v>83</v>
      </c>
      <c r="D278" s="34" t="s">
        <v>119</v>
      </c>
      <c r="E278" s="34" t="s">
        <v>119</v>
      </c>
      <c r="F278" s="34" t="s">
        <v>121</v>
      </c>
      <c r="G278" s="34" t="s">
        <v>121</v>
      </c>
      <c r="H278" s="9"/>
    </row>
    <row r="279" spans="2:8" ht="12.75" x14ac:dyDescent="0.15">
      <c r="B279" s="18"/>
      <c r="C279" s="18"/>
      <c r="D279" s="19"/>
      <c r="E279" s="18"/>
      <c r="F279" s="18"/>
      <c r="G279" s="18"/>
    </row>
    <row r="280" spans="2:8" ht="14.25" x14ac:dyDescent="0.15">
      <c r="B280" s="44" t="s">
        <v>51</v>
      </c>
      <c r="C280" s="44" t="s">
        <v>52</v>
      </c>
      <c r="D280" s="9"/>
    </row>
    <row r="281" spans="2:8" ht="14.25" x14ac:dyDescent="0.15">
      <c r="B281" s="32" t="s">
        <v>81</v>
      </c>
      <c r="C281" s="32" t="s">
        <v>81</v>
      </c>
      <c r="D281" s="9"/>
    </row>
    <row r="282" spans="2:8" ht="14.25" x14ac:dyDescent="0.15">
      <c r="B282" s="34" t="s">
        <v>82</v>
      </c>
      <c r="C282" s="34" t="s">
        <v>82</v>
      </c>
      <c r="D282" s="9"/>
    </row>
    <row r="283" spans="2:8" ht="14.25" x14ac:dyDescent="0.15">
      <c r="B283" s="34" t="s">
        <v>84</v>
      </c>
      <c r="C283" s="34" t="s">
        <v>84</v>
      </c>
      <c r="D283" s="9"/>
    </row>
    <row r="284" spans="2:8" ht="14.25" x14ac:dyDescent="0.15">
      <c r="B284" s="34" t="s">
        <v>123</v>
      </c>
      <c r="C284" s="35" t="s">
        <v>124</v>
      </c>
      <c r="D284" s="9"/>
    </row>
    <row r="285" spans="2:8" ht="14.25" x14ac:dyDescent="0.15">
      <c r="B285" s="46"/>
      <c r="C285" s="47"/>
    </row>
    <row r="286" spans="2:8" ht="12.75" x14ac:dyDescent="0.15">
      <c r="D286" s="25"/>
    </row>
    <row r="287" spans="2:8" ht="14.25" x14ac:dyDescent="0.15">
      <c r="B287" s="39" t="s">
        <v>68</v>
      </c>
      <c r="C287" s="48" t="s">
        <v>90</v>
      </c>
      <c r="D287" s="48" t="s">
        <v>70</v>
      </c>
      <c r="E287" s="48" t="s">
        <v>125</v>
      </c>
      <c r="F287" s="48" t="s">
        <v>126</v>
      </c>
      <c r="G287" s="48" t="s">
        <v>127</v>
      </c>
      <c r="H287" s="9"/>
    </row>
    <row r="288" spans="2:8" ht="14.25" x14ac:dyDescent="0.15">
      <c r="B288" s="41" t="s">
        <v>74</v>
      </c>
      <c r="C288" s="41" t="s">
        <v>96</v>
      </c>
      <c r="D288" s="41" t="s">
        <v>97</v>
      </c>
      <c r="E288" s="41" t="s">
        <v>130</v>
      </c>
      <c r="F288" s="41" t="s">
        <v>130</v>
      </c>
      <c r="G288" s="41" t="s">
        <v>130</v>
      </c>
      <c r="H288" s="9"/>
    </row>
    <row r="289" spans="1:8" ht="12.75" x14ac:dyDescent="0.15">
      <c r="B289" s="18"/>
      <c r="C289" s="18"/>
      <c r="D289" s="19"/>
      <c r="E289" s="18"/>
      <c r="F289" s="18"/>
      <c r="G289" s="18"/>
    </row>
    <row r="290" spans="1:8" ht="17.45" customHeight="1" x14ac:dyDescent="0.2">
      <c r="A290" s="60"/>
      <c r="B290" s="60" t="s">
        <v>131</v>
      </c>
      <c r="D290" s="25"/>
    </row>
    <row r="291" spans="1:8" ht="12.75" x14ac:dyDescent="0.15">
      <c r="D291" s="25"/>
    </row>
    <row r="292" spans="1:8" ht="14.25" x14ac:dyDescent="0.15">
      <c r="B292" s="44" t="s">
        <v>42</v>
      </c>
      <c r="C292" s="44" t="s">
        <v>43</v>
      </c>
      <c r="D292" s="44" t="s">
        <v>44</v>
      </c>
      <c r="E292" s="44" t="s">
        <v>45</v>
      </c>
      <c r="F292" s="44" t="s">
        <v>46</v>
      </c>
      <c r="G292" s="45" t="s">
        <v>47</v>
      </c>
      <c r="H292" s="9"/>
    </row>
    <row r="293" spans="1:8" ht="14.25" x14ac:dyDescent="0.15">
      <c r="B293" s="32" t="s">
        <v>81</v>
      </c>
      <c r="C293" s="32" t="s">
        <v>81</v>
      </c>
      <c r="D293" s="32" t="s">
        <v>81</v>
      </c>
      <c r="E293" s="32" t="s">
        <v>81</v>
      </c>
      <c r="F293" s="32" t="s">
        <v>81</v>
      </c>
      <c r="G293" s="33" t="s">
        <v>81</v>
      </c>
      <c r="H293" s="9"/>
    </row>
    <row r="294" spans="1:8" ht="14.25" x14ac:dyDescent="0.15">
      <c r="B294" s="34" t="s">
        <v>81</v>
      </c>
      <c r="C294" s="34" t="s">
        <v>81</v>
      </c>
      <c r="D294" s="34" t="s">
        <v>81</v>
      </c>
      <c r="E294" s="34" t="s">
        <v>81</v>
      </c>
      <c r="F294" s="34" t="s">
        <v>81</v>
      </c>
      <c r="G294" s="35" t="s">
        <v>81</v>
      </c>
      <c r="H294" s="9"/>
    </row>
    <row r="295" spans="1:8" ht="14.25" x14ac:dyDescent="0.15">
      <c r="B295" s="34" t="s">
        <v>82</v>
      </c>
      <c r="C295" s="34" t="s">
        <v>82</v>
      </c>
      <c r="D295" s="34" t="s">
        <v>82</v>
      </c>
      <c r="E295" s="34" t="s">
        <v>82</v>
      </c>
      <c r="F295" s="34" t="s">
        <v>84</v>
      </c>
      <c r="G295" s="35" t="s">
        <v>84</v>
      </c>
      <c r="H295" s="9"/>
    </row>
    <row r="296" spans="1:8" ht="14.25" x14ac:dyDescent="0.15">
      <c r="B296" s="34" t="s">
        <v>84</v>
      </c>
      <c r="C296" s="34" t="s">
        <v>84</v>
      </c>
      <c r="D296" s="34" t="s">
        <v>84</v>
      </c>
      <c r="E296" s="34" t="s">
        <v>84</v>
      </c>
      <c r="F296" s="34" t="s">
        <v>119</v>
      </c>
      <c r="G296" s="34" t="s">
        <v>119</v>
      </c>
      <c r="H296" s="9"/>
    </row>
    <row r="297" spans="1:8" ht="12.75" x14ac:dyDescent="0.15">
      <c r="B297" s="18"/>
      <c r="C297" s="18"/>
      <c r="D297" s="19"/>
      <c r="E297" s="18"/>
      <c r="F297" s="18"/>
      <c r="G297" s="18"/>
    </row>
    <row r="298" spans="1:8" ht="14.25" x14ac:dyDescent="0.15">
      <c r="B298" s="44" t="s">
        <v>51</v>
      </c>
      <c r="C298" s="44" t="s">
        <v>52</v>
      </c>
      <c r="D298" s="44" t="s">
        <v>53</v>
      </c>
      <c r="E298" s="44" t="s">
        <v>54</v>
      </c>
      <c r="F298" s="44" t="s">
        <v>55</v>
      </c>
      <c r="G298" s="45" t="s">
        <v>56</v>
      </c>
      <c r="H298" s="9"/>
    </row>
    <row r="299" spans="1:8" ht="14.25" x14ac:dyDescent="0.15">
      <c r="B299" s="32" t="s">
        <v>81</v>
      </c>
      <c r="C299" s="32" t="s">
        <v>81</v>
      </c>
      <c r="D299" s="32" t="s">
        <v>81</v>
      </c>
      <c r="E299" s="32" t="s">
        <v>81</v>
      </c>
      <c r="F299" s="32" t="s">
        <v>81</v>
      </c>
      <c r="G299" s="33" t="s">
        <v>81</v>
      </c>
      <c r="H299" s="9"/>
    </row>
    <row r="300" spans="1:8" ht="14.25" x14ac:dyDescent="0.15">
      <c r="B300" s="34" t="s">
        <v>81</v>
      </c>
      <c r="C300" s="34" t="s">
        <v>82</v>
      </c>
      <c r="D300" s="34" t="s">
        <v>82</v>
      </c>
      <c r="E300" s="34" t="s">
        <v>82</v>
      </c>
      <c r="F300" s="34" t="s">
        <v>82</v>
      </c>
      <c r="G300" s="35" t="s">
        <v>82</v>
      </c>
      <c r="H300" s="9"/>
    </row>
    <row r="301" spans="1:8" ht="14.25" x14ac:dyDescent="0.15">
      <c r="B301" s="34" t="s">
        <v>84</v>
      </c>
      <c r="C301" s="34" t="s">
        <v>84</v>
      </c>
      <c r="D301" s="34" t="s">
        <v>84</v>
      </c>
      <c r="E301" s="34" t="s">
        <v>84</v>
      </c>
      <c r="F301" s="34" t="s">
        <v>84</v>
      </c>
      <c r="G301" s="35" t="s">
        <v>84</v>
      </c>
      <c r="H301" s="9"/>
    </row>
    <row r="302" spans="1:8" ht="14.25" x14ac:dyDescent="0.15">
      <c r="B302" s="34" t="s">
        <v>119</v>
      </c>
      <c r="C302" s="35" t="s">
        <v>120</v>
      </c>
      <c r="D302" s="34" t="s">
        <v>121</v>
      </c>
      <c r="E302" s="34" t="s">
        <v>121</v>
      </c>
      <c r="F302" s="34" t="s">
        <v>121</v>
      </c>
      <c r="G302" s="34" t="s">
        <v>122</v>
      </c>
      <c r="H302" s="9"/>
    </row>
    <row r="303" spans="1:8" ht="12.75" x14ac:dyDescent="0.15">
      <c r="B303" s="18"/>
      <c r="C303" s="18"/>
      <c r="D303" s="19"/>
      <c r="E303" s="18"/>
      <c r="F303" s="18"/>
      <c r="G303" s="18"/>
    </row>
    <row r="304" spans="1:8" ht="14.25" x14ac:dyDescent="0.15">
      <c r="B304" s="44" t="s">
        <v>58</v>
      </c>
      <c r="C304" s="44" t="s">
        <v>59</v>
      </c>
      <c r="D304" s="44" t="s">
        <v>60</v>
      </c>
      <c r="E304" s="9"/>
    </row>
    <row r="305" spans="2:8" ht="14.25" x14ac:dyDescent="0.15">
      <c r="B305" s="32" t="s">
        <v>81</v>
      </c>
      <c r="C305" s="32" t="s">
        <v>81</v>
      </c>
      <c r="D305" s="32" t="s">
        <v>81</v>
      </c>
      <c r="E305" s="9"/>
    </row>
    <row r="306" spans="2:8" ht="14.25" x14ac:dyDescent="0.15">
      <c r="B306" s="34" t="s">
        <v>81</v>
      </c>
      <c r="C306" s="34" t="s">
        <v>81</v>
      </c>
      <c r="D306" s="34" t="s">
        <v>82</v>
      </c>
      <c r="E306" s="9"/>
    </row>
    <row r="307" spans="2:8" ht="14.25" x14ac:dyDescent="0.15">
      <c r="B307" s="34" t="s">
        <v>84</v>
      </c>
      <c r="C307" s="34" t="s">
        <v>84</v>
      </c>
      <c r="D307" s="34" t="s">
        <v>84</v>
      </c>
      <c r="E307" s="9"/>
    </row>
    <row r="308" spans="2:8" ht="14.25" x14ac:dyDescent="0.15">
      <c r="B308" s="34" t="s">
        <v>123</v>
      </c>
      <c r="C308" s="34" t="s">
        <v>123</v>
      </c>
      <c r="D308" s="34" t="s">
        <v>123</v>
      </c>
      <c r="E308" s="9"/>
    </row>
    <row r="309" spans="2:8" ht="12.75" x14ac:dyDescent="0.15">
      <c r="B309" s="18"/>
      <c r="C309" s="18"/>
      <c r="D309" s="19"/>
    </row>
    <row r="310" spans="2:8" ht="12.75" x14ac:dyDescent="0.15">
      <c r="D310" s="25"/>
    </row>
    <row r="311" spans="2:8" ht="14.25" x14ac:dyDescent="0.15">
      <c r="B311" s="39" t="s">
        <v>68</v>
      </c>
      <c r="C311" s="48" t="s">
        <v>90</v>
      </c>
      <c r="D311" s="48" t="s">
        <v>70</v>
      </c>
      <c r="E311" s="48" t="s">
        <v>125</v>
      </c>
      <c r="F311" s="48" t="s">
        <v>126</v>
      </c>
      <c r="G311" s="48" t="s">
        <v>127</v>
      </c>
      <c r="H311" s="9"/>
    </row>
    <row r="312" spans="2:8" ht="14.25" x14ac:dyDescent="0.15">
      <c r="B312" s="41" t="s">
        <v>77</v>
      </c>
      <c r="C312" s="41" t="s">
        <v>100</v>
      </c>
      <c r="D312" s="41" t="s">
        <v>101</v>
      </c>
      <c r="E312" s="41" t="s">
        <v>132</v>
      </c>
      <c r="F312" s="41" t="s">
        <v>132</v>
      </c>
      <c r="G312" s="41" t="s">
        <v>132</v>
      </c>
      <c r="H312" s="9"/>
    </row>
    <row r="313" spans="2:8" ht="12.75" x14ac:dyDescent="0.15">
      <c r="B313" s="18"/>
      <c r="C313" s="18"/>
      <c r="D313" s="19"/>
      <c r="E313" s="18"/>
      <c r="F313" s="18"/>
      <c r="G313" s="18"/>
    </row>
    <row r="314" spans="2:8" ht="12.75" x14ac:dyDescent="0.15">
      <c r="D314" s="25"/>
    </row>
    <row r="315" spans="2:8" ht="12.75" x14ac:dyDescent="0.15">
      <c r="D315" s="25"/>
    </row>
    <row r="316" spans="2:8" ht="12.75" x14ac:dyDescent="0.15">
      <c r="D316" s="25"/>
    </row>
    <row r="317" spans="2:8" ht="12.75" x14ac:dyDescent="0.15">
      <c r="D317" s="25"/>
    </row>
    <row r="318" spans="2:8" ht="12.75" x14ac:dyDescent="0.15">
      <c r="D318" s="25"/>
    </row>
    <row r="319" spans="2:8" ht="12.75" x14ac:dyDescent="0.15">
      <c r="D319" s="25"/>
    </row>
    <row r="320" spans="2:8" ht="12.75" x14ac:dyDescent="0.15">
      <c r="D320" s="25"/>
    </row>
    <row r="321" spans="1:8" ht="12.75" x14ac:dyDescent="0.15">
      <c r="D321" s="25"/>
    </row>
    <row r="322" spans="1:8" ht="12.75" x14ac:dyDescent="0.15">
      <c r="D322" s="25"/>
    </row>
    <row r="323" spans="1:8" ht="12.75" x14ac:dyDescent="0.15">
      <c r="D323" s="25"/>
    </row>
    <row r="324" spans="1:8" ht="12.75" x14ac:dyDescent="0.15">
      <c r="D324" s="25"/>
    </row>
    <row r="325" spans="1:8" ht="12.75" x14ac:dyDescent="0.15">
      <c r="D325" s="25"/>
    </row>
    <row r="326" spans="1:8" ht="17.45" customHeight="1" x14ac:dyDescent="0.2">
      <c r="A326" s="60"/>
      <c r="B326" s="60" t="s">
        <v>133</v>
      </c>
      <c r="D326" s="25"/>
    </row>
    <row r="327" spans="1:8" ht="14.25" x14ac:dyDescent="0.15">
      <c r="B327" s="52" t="s">
        <v>42</v>
      </c>
      <c r="C327" s="52" t="s">
        <v>43</v>
      </c>
      <c r="D327" s="52" t="s">
        <v>44</v>
      </c>
      <c r="E327" s="52" t="s">
        <v>45</v>
      </c>
      <c r="F327" s="52" t="s">
        <v>46</v>
      </c>
      <c r="G327" s="53" t="s">
        <v>47</v>
      </c>
      <c r="H327" s="9"/>
    </row>
    <row r="328" spans="1:8" ht="14.25" x14ac:dyDescent="0.15">
      <c r="B328" s="32" t="s">
        <v>81</v>
      </c>
      <c r="C328" s="32" t="s">
        <v>81</v>
      </c>
      <c r="D328" s="32" t="s">
        <v>81</v>
      </c>
      <c r="E328" s="32" t="s">
        <v>81</v>
      </c>
      <c r="F328" s="32" t="s">
        <v>81</v>
      </c>
      <c r="G328" s="32" t="s">
        <v>81</v>
      </c>
      <c r="H328" s="9"/>
    </row>
    <row r="329" spans="1:8" ht="14.25" x14ac:dyDescent="0.15">
      <c r="B329" s="34" t="s">
        <v>82</v>
      </c>
      <c r="C329" s="34" t="s">
        <v>82</v>
      </c>
      <c r="D329" s="34" t="s">
        <v>82</v>
      </c>
      <c r="E329" s="34" t="s">
        <v>82</v>
      </c>
      <c r="F329" s="34" t="s">
        <v>82</v>
      </c>
      <c r="G329" s="34" t="s">
        <v>82</v>
      </c>
      <c r="H329" s="9"/>
    </row>
    <row r="330" spans="1:8" ht="14.25" x14ac:dyDescent="0.15">
      <c r="B330" s="34" t="s">
        <v>84</v>
      </c>
      <c r="C330" s="34" t="s">
        <v>84</v>
      </c>
      <c r="D330" s="34" t="s">
        <v>84</v>
      </c>
      <c r="E330" s="34" t="s">
        <v>84</v>
      </c>
      <c r="F330" s="34" t="s">
        <v>84</v>
      </c>
      <c r="G330" s="34" t="s">
        <v>83</v>
      </c>
      <c r="H330" s="9"/>
    </row>
    <row r="331" spans="1:8" ht="14.25" x14ac:dyDescent="0.15">
      <c r="B331" s="34" t="s">
        <v>119</v>
      </c>
      <c r="C331" s="34" t="s">
        <v>119</v>
      </c>
      <c r="D331" s="35" t="s">
        <v>120</v>
      </c>
      <c r="E331" s="34" t="s">
        <v>121</v>
      </c>
      <c r="F331" s="34" t="s">
        <v>121</v>
      </c>
      <c r="G331" s="34" t="s">
        <v>122</v>
      </c>
      <c r="H331" s="9"/>
    </row>
    <row r="332" spans="1:8" ht="6.4" customHeight="1" x14ac:dyDescent="0.15">
      <c r="B332" s="18"/>
      <c r="C332" s="18"/>
      <c r="D332" s="19"/>
      <c r="E332" s="18"/>
      <c r="F332" s="18"/>
      <c r="G332" s="18"/>
    </row>
    <row r="333" spans="1:8" ht="14.25" x14ac:dyDescent="0.15">
      <c r="B333" s="52" t="s">
        <v>51</v>
      </c>
      <c r="C333" s="52" t="s">
        <v>52</v>
      </c>
      <c r="D333" s="52" t="s">
        <v>53</v>
      </c>
      <c r="E333" s="9"/>
    </row>
    <row r="334" spans="1:8" ht="14.25" x14ac:dyDescent="0.15">
      <c r="B334" s="32" t="s">
        <v>81</v>
      </c>
      <c r="C334" s="32" t="s">
        <v>81</v>
      </c>
      <c r="D334" s="32" t="s">
        <v>81</v>
      </c>
      <c r="E334" s="9"/>
    </row>
    <row r="335" spans="1:8" ht="14.25" x14ac:dyDescent="0.15">
      <c r="B335" s="34" t="s">
        <v>82</v>
      </c>
      <c r="C335" s="34" t="s">
        <v>82</v>
      </c>
      <c r="D335" s="34" t="s">
        <v>82</v>
      </c>
      <c r="E335" s="9"/>
    </row>
    <row r="336" spans="1:8" ht="14.25" x14ac:dyDescent="0.15">
      <c r="B336" s="34" t="s">
        <v>83</v>
      </c>
      <c r="C336" s="34" t="s">
        <v>83</v>
      </c>
      <c r="D336" s="34" t="s">
        <v>83</v>
      </c>
      <c r="E336" s="9"/>
    </row>
    <row r="337" spans="1:8" ht="14.25" x14ac:dyDescent="0.15">
      <c r="B337" s="34" t="s">
        <v>123</v>
      </c>
      <c r="C337" s="34" t="s">
        <v>123</v>
      </c>
      <c r="D337" s="35" t="s">
        <v>124</v>
      </c>
      <c r="E337" s="9"/>
    </row>
    <row r="338" spans="1:8" ht="12.75" x14ac:dyDescent="0.15">
      <c r="B338" s="18"/>
      <c r="C338" s="18"/>
      <c r="D338" s="19"/>
    </row>
    <row r="339" spans="1:8" ht="17.45" customHeight="1" x14ac:dyDescent="0.2">
      <c r="A339" s="60"/>
      <c r="B339" s="60" t="s">
        <v>134</v>
      </c>
      <c r="D339" s="25"/>
    </row>
    <row r="340" spans="1:8" ht="14.25" x14ac:dyDescent="0.15">
      <c r="B340" s="52" t="s">
        <v>42</v>
      </c>
      <c r="C340" s="52" t="s">
        <v>43</v>
      </c>
      <c r="D340" s="52" t="s">
        <v>44</v>
      </c>
      <c r="E340" s="52" t="s">
        <v>45</v>
      </c>
      <c r="F340" s="52" t="s">
        <v>46</v>
      </c>
      <c r="G340" s="53" t="s">
        <v>47</v>
      </c>
      <c r="H340" s="9"/>
    </row>
    <row r="341" spans="1:8" ht="14.25" x14ac:dyDescent="0.15">
      <c r="B341" s="32" t="s">
        <v>81</v>
      </c>
      <c r="C341" s="32" t="s">
        <v>81</v>
      </c>
      <c r="D341" s="32" t="s">
        <v>81</v>
      </c>
      <c r="E341" s="32" t="s">
        <v>81</v>
      </c>
      <c r="F341" s="32" t="s">
        <v>81</v>
      </c>
      <c r="G341" s="32" t="s">
        <v>81</v>
      </c>
      <c r="H341" s="9"/>
    </row>
    <row r="342" spans="1:8" ht="14.25" x14ac:dyDescent="0.15">
      <c r="B342" s="34" t="s">
        <v>82</v>
      </c>
      <c r="C342" s="34" t="s">
        <v>82</v>
      </c>
      <c r="D342" s="34" t="s">
        <v>82</v>
      </c>
      <c r="E342" s="34" t="s">
        <v>82</v>
      </c>
      <c r="F342" s="34" t="s">
        <v>82</v>
      </c>
      <c r="G342" s="34" t="s">
        <v>82</v>
      </c>
      <c r="H342" s="9"/>
    </row>
    <row r="343" spans="1:8" ht="14.25" x14ac:dyDescent="0.15">
      <c r="B343" s="34" t="s">
        <v>84</v>
      </c>
      <c r="C343" s="34" t="s">
        <v>84</v>
      </c>
      <c r="D343" s="34" t="s">
        <v>84</v>
      </c>
      <c r="E343" s="34" t="s">
        <v>83</v>
      </c>
      <c r="F343" s="34" t="s">
        <v>83</v>
      </c>
      <c r="G343" s="34" t="s">
        <v>83</v>
      </c>
      <c r="H343" s="9"/>
    </row>
    <row r="344" spans="1:8" ht="14.25" x14ac:dyDescent="0.15">
      <c r="B344" s="34" t="s">
        <v>119</v>
      </c>
      <c r="C344" s="35" t="s">
        <v>120</v>
      </c>
      <c r="D344" s="34" t="s">
        <v>121</v>
      </c>
      <c r="E344" s="34" t="s">
        <v>122</v>
      </c>
      <c r="F344" s="34" t="s">
        <v>123</v>
      </c>
      <c r="G344" s="35" t="s">
        <v>124</v>
      </c>
      <c r="H344" s="9"/>
    </row>
    <row r="345" spans="1:8" ht="12.75" x14ac:dyDescent="0.15">
      <c r="B345" s="18"/>
      <c r="C345" s="18"/>
      <c r="D345" s="19"/>
      <c r="E345" s="18"/>
      <c r="F345" s="18"/>
      <c r="G345" s="18"/>
    </row>
    <row r="346" spans="1:8" ht="17.45" customHeight="1" x14ac:dyDescent="0.2">
      <c r="A346" s="60"/>
      <c r="B346" s="60" t="s">
        <v>135</v>
      </c>
      <c r="D346" s="25"/>
    </row>
    <row r="347" spans="1:8" ht="14.25" x14ac:dyDescent="0.15">
      <c r="B347" s="52" t="s">
        <v>42</v>
      </c>
      <c r="C347" s="52" t="s">
        <v>43</v>
      </c>
      <c r="D347" s="52" t="s">
        <v>44</v>
      </c>
      <c r="E347" s="52" t="s">
        <v>45</v>
      </c>
      <c r="F347" s="52" t="s">
        <v>46</v>
      </c>
      <c r="G347" s="53" t="s">
        <v>47</v>
      </c>
      <c r="H347" s="9"/>
    </row>
    <row r="348" spans="1:8" ht="14.25" x14ac:dyDescent="0.15">
      <c r="B348" s="32" t="s">
        <v>81</v>
      </c>
      <c r="C348" s="32" t="s">
        <v>81</v>
      </c>
      <c r="D348" s="32" t="s">
        <v>81</v>
      </c>
      <c r="E348" s="32" t="s">
        <v>81</v>
      </c>
      <c r="F348" s="32" t="s">
        <v>81</v>
      </c>
      <c r="G348" s="32" t="s">
        <v>81</v>
      </c>
      <c r="H348" s="9"/>
    </row>
    <row r="349" spans="1:8" ht="14.25" x14ac:dyDescent="0.15">
      <c r="B349" s="34" t="s">
        <v>82</v>
      </c>
      <c r="C349" s="34" t="s">
        <v>82</v>
      </c>
      <c r="D349" s="34" t="s">
        <v>82</v>
      </c>
      <c r="E349" s="34" t="s">
        <v>82</v>
      </c>
      <c r="F349" s="34" t="s">
        <v>82</v>
      </c>
      <c r="G349" s="34" t="s">
        <v>82</v>
      </c>
      <c r="H349" s="9"/>
    </row>
    <row r="350" spans="1:8" ht="14.25" x14ac:dyDescent="0.15">
      <c r="B350" s="34" t="s">
        <v>84</v>
      </c>
      <c r="C350" s="34" t="s">
        <v>84</v>
      </c>
      <c r="D350" s="34" t="s">
        <v>84</v>
      </c>
      <c r="E350" s="34" t="s">
        <v>84</v>
      </c>
      <c r="F350" s="34" t="s">
        <v>84</v>
      </c>
      <c r="G350" s="34" t="s">
        <v>84</v>
      </c>
      <c r="H350" s="9"/>
    </row>
    <row r="351" spans="1:8" ht="14.25" x14ac:dyDescent="0.15">
      <c r="B351" s="34" t="s">
        <v>119</v>
      </c>
      <c r="C351" s="34" t="s">
        <v>119</v>
      </c>
      <c r="D351" s="35" t="s">
        <v>120</v>
      </c>
      <c r="E351" s="35" t="s">
        <v>120</v>
      </c>
      <c r="F351" s="34" t="s">
        <v>121</v>
      </c>
      <c r="G351" s="34" t="s">
        <v>121</v>
      </c>
      <c r="H351" s="9"/>
    </row>
    <row r="352" spans="1:8" ht="6.4" customHeight="1" x14ac:dyDescent="0.15">
      <c r="B352" s="18"/>
      <c r="C352" s="18"/>
      <c r="D352" s="19"/>
      <c r="E352" s="18"/>
      <c r="F352" s="18"/>
      <c r="G352" s="18"/>
    </row>
    <row r="353" spans="1:8" ht="14.25" x14ac:dyDescent="0.15">
      <c r="B353" s="52" t="s">
        <v>51</v>
      </c>
      <c r="C353" s="52" t="s">
        <v>52</v>
      </c>
      <c r="D353" s="52" t="s">
        <v>53</v>
      </c>
      <c r="E353" s="52" t="s">
        <v>54</v>
      </c>
      <c r="F353" s="52" t="s">
        <v>55</v>
      </c>
      <c r="G353" s="53" t="s">
        <v>56</v>
      </c>
      <c r="H353" s="9"/>
    </row>
    <row r="354" spans="1:8" ht="14.25" x14ac:dyDescent="0.15">
      <c r="B354" s="32" t="s">
        <v>81</v>
      </c>
      <c r="C354" s="32" t="s">
        <v>81</v>
      </c>
      <c r="D354" s="32" t="s">
        <v>81</v>
      </c>
      <c r="E354" s="32" t="s">
        <v>81</v>
      </c>
      <c r="F354" s="32" t="s">
        <v>81</v>
      </c>
      <c r="G354" s="32" t="s">
        <v>81</v>
      </c>
      <c r="H354" s="9"/>
    </row>
    <row r="355" spans="1:8" ht="14.25" x14ac:dyDescent="0.15">
      <c r="B355" s="34" t="s">
        <v>82</v>
      </c>
      <c r="C355" s="34" t="s">
        <v>82</v>
      </c>
      <c r="D355" s="34" t="s">
        <v>82</v>
      </c>
      <c r="E355" s="34" t="s">
        <v>82</v>
      </c>
      <c r="F355" s="34" t="s">
        <v>82</v>
      </c>
      <c r="G355" s="34" t="s">
        <v>82</v>
      </c>
      <c r="H355" s="9"/>
    </row>
    <row r="356" spans="1:8" ht="14.25" x14ac:dyDescent="0.15">
      <c r="B356" s="34" t="s">
        <v>83</v>
      </c>
      <c r="C356" s="34" t="s">
        <v>83</v>
      </c>
      <c r="D356" s="34" t="s">
        <v>83</v>
      </c>
      <c r="E356" s="34" t="s">
        <v>83</v>
      </c>
      <c r="F356" s="34" t="s">
        <v>83</v>
      </c>
      <c r="G356" s="34" t="s">
        <v>83</v>
      </c>
      <c r="H356" s="9"/>
    </row>
    <row r="357" spans="1:8" ht="14.25" x14ac:dyDescent="0.15">
      <c r="B357" s="34" t="s">
        <v>122</v>
      </c>
      <c r="C357" s="34" t="s">
        <v>122</v>
      </c>
      <c r="D357" s="34" t="s">
        <v>123</v>
      </c>
      <c r="E357" s="34" t="s">
        <v>123</v>
      </c>
      <c r="F357" s="35" t="s">
        <v>124</v>
      </c>
      <c r="G357" s="35" t="s">
        <v>124</v>
      </c>
      <c r="H357" s="9"/>
    </row>
    <row r="358" spans="1:8" ht="12.75" x14ac:dyDescent="0.15">
      <c r="B358" s="18"/>
      <c r="C358" s="18"/>
      <c r="D358" s="19"/>
      <c r="E358" s="18"/>
      <c r="F358" s="18"/>
      <c r="G358" s="18"/>
    </row>
    <row r="359" spans="1:8" ht="14.25" x14ac:dyDescent="0.15">
      <c r="B359" s="39" t="s">
        <v>68</v>
      </c>
      <c r="C359" s="54" t="s">
        <v>90</v>
      </c>
      <c r="D359" s="54" t="s">
        <v>70</v>
      </c>
      <c r="E359" s="54" t="s">
        <v>125</v>
      </c>
      <c r="F359" s="54" t="s">
        <v>126</v>
      </c>
      <c r="G359" s="54" t="s">
        <v>127</v>
      </c>
      <c r="H359" s="9"/>
    </row>
    <row r="360" spans="1:8" ht="14.25" x14ac:dyDescent="0.15">
      <c r="B360" s="41" t="s">
        <v>71</v>
      </c>
      <c r="C360" s="41" t="s">
        <v>105</v>
      </c>
      <c r="D360" s="41" t="s">
        <v>106</v>
      </c>
      <c r="E360" s="41" t="s">
        <v>136</v>
      </c>
      <c r="F360" s="41" t="s">
        <v>136</v>
      </c>
      <c r="G360" s="41" t="s">
        <v>136</v>
      </c>
      <c r="H360" s="9"/>
    </row>
    <row r="361" spans="1:8" ht="14.25" x14ac:dyDescent="0.15">
      <c r="B361" s="42" t="s">
        <v>74</v>
      </c>
      <c r="C361" s="42" t="s">
        <v>107</v>
      </c>
      <c r="D361" s="42" t="s">
        <v>108</v>
      </c>
      <c r="E361" s="42" t="s">
        <v>130</v>
      </c>
      <c r="F361" s="42" t="s">
        <v>130</v>
      </c>
      <c r="G361" s="42" t="s">
        <v>130</v>
      </c>
      <c r="H361" s="9"/>
    </row>
    <row r="362" spans="1:8" ht="14.25" x14ac:dyDescent="0.15">
      <c r="B362" s="42" t="s">
        <v>77</v>
      </c>
      <c r="C362" s="42" t="s">
        <v>109</v>
      </c>
      <c r="D362" s="42" t="s">
        <v>107</v>
      </c>
      <c r="E362" s="42" t="s">
        <v>132</v>
      </c>
      <c r="F362" s="42" t="s">
        <v>132</v>
      </c>
      <c r="G362" s="42" t="s">
        <v>132</v>
      </c>
      <c r="H362" s="9"/>
    </row>
    <row r="363" spans="1:8" ht="14.25" x14ac:dyDescent="0.15">
      <c r="B363" s="49"/>
      <c r="C363" s="49"/>
      <c r="D363" s="61"/>
      <c r="E363" s="49"/>
      <c r="F363" s="18"/>
      <c r="G363" s="18"/>
    </row>
    <row r="364" spans="1:8" ht="17.45" customHeight="1" x14ac:dyDescent="0.2">
      <c r="A364" s="55"/>
      <c r="B364" s="55" t="s">
        <v>137</v>
      </c>
      <c r="D364" s="25"/>
    </row>
    <row r="365" spans="1:8" ht="12.75" x14ac:dyDescent="0.15">
      <c r="D365" s="25"/>
    </row>
    <row r="366" spans="1:8" ht="14.25" x14ac:dyDescent="0.15">
      <c r="B366" s="56" t="s">
        <v>42</v>
      </c>
      <c r="C366" s="56" t="s">
        <v>43</v>
      </c>
      <c r="D366" s="56" t="s">
        <v>44</v>
      </c>
      <c r="E366" s="56" t="s">
        <v>45</v>
      </c>
      <c r="F366" s="56" t="s">
        <v>46</v>
      </c>
      <c r="G366" s="57" t="s">
        <v>47</v>
      </c>
      <c r="H366" s="9"/>
    </row>
    <row r="367" spans="1:8" ht="14.25" x14ac:dyDescent="0.15">
      <c r="B367" s="32" t="s">
        <v>81</v>
      </c>
      <c r="C367" s="32" t="s">
        <v>81</v>
      </c>
      <c r="D367" s="32" t="s">
        <v>82</v>
      </c>
      <c r="E367" s="32" t="s">
        <v>82</v>
      </c>
      <c r="F367" s="32" t="s">
        <v>82</v>
      </c>
      <c r="G367" s="32" t="s">
        <v>82</v>
      </c>
      <c r="H367" s="9"/>
    </row>
    <row r="368" spans="1:8" ht="14.25" x14ac:dyDescent="0.15">
      <c r="B368" s="34" t="s">
        <v>82</v>
      </c>
      <c r="C368" s="34" t="s">
        <v>82</v>
      </c>
      <c r="D368" s="34" t="s">
        <v>82</v>
      </c>
      <c r="E368" s="34" t="s">
        <v>83</v>
      </c>
      <c r="F368" s="34" t="s">
        <v>83</v>
      </c>
      <c r="G368" s="34" t="s">
        <v>83</v>
      </c>
      <c r="H368" s="9"/>
    </row>
    <row r="369" spans="1:8" ht="14.25" x14ac:dyDescent="0.15">
      <c r="B369" s="34" t="s">
        <v>84</v>
      </c>
      <c r="C369" s="34" t="s">
        <v>83</v>
      </c>
      <c r="D369" s="34" t="s">
        <v>83</v>
      </c>
      <c r="E369" s="34" t="s">
        <v>119</v>
      </c>
      <c r="F369" s="35" t="s">
        <v>120</v>
      </c>
      <c r="G369" s="35" t="s">
        <v>120</v>
      </c>
      <c r="H369" s="9"/>
    </row>
    <row r="370" spans="1:8" ht="14.25" x14ac:dyDescent="0.15">
      <c r="B370" s="34" t="s">
        <v>121</v>
      </c>
      <c r="C370" s="34" t="s">
        <v>122</v>
      </c>
      <c r="D370" s="34" t="s">
        <v>122</v>
      </c>
      <c r="E370" s="34" t="s">
        <v>123</v>
      </c>
      <c r="F370" s="35" t="s">
        <v>124</v>
      </c>
      <c r="G370" s="35" t="s">
        <v>124</v>
      </c>
      <c r="H370" s="9"/>
    </row>
    <row r="371" spans="1:8" ht="12.75" x14ac:dyDescent="0.15">
      <c r="B371" s="58"/>
      <c r="C371" s="64"/>
      <c r="D371" s="58"/>
      <c r="E371" s="64"/>
      <c r="F371" s="64"/>
      <c r="G371" s="65"/>
    </row>
    <row r="372" spans="1:8" ht="12.75" x14ac:dyDescent="0.15">
      <c r="D372" s="25"/>
    </row>
    <row r="373" spans="1:8" ht="17.45" customHeight="1" x14ac:dyDescent="0.2">
      <c r="A373" s="55"/>
      <c r="B373" s="55" t="s">
        <v>138</v>
      </c>
      <c r="D373" s="25"/>
    </row>
    <row r="374" spans="1:8" ht="12.75" x14ac:dyDescent="0.15">
      <c r="D374" s="25"/>
    </row>
    <row r="375" spans="1:8" ht="14.25" x14ac:dyDescent="0.15">
      <c r="B375" s="56" t="s">
        <v>42</v>
      </c>
      <c r="C375" s="56" t="s">
        <v>43</v>
      </c>
      <c r="D375" s="56" t="s">
        <v>44</v>
      </c>
      <c r="E375" s="56" t="s">
        <v>45</v>
      </c>
      <c r="F375" s="9"/>
    </row>
    <row r="376" spans="1:8" ht="14.25" x14ac:dyDescent="0.15">
      <c r="B376" s="32" t="s">
        <v>81</v>
      </c>
      <c r="C376" s="32" t="s">
        <v>81</v>
      </c>
      <c r="D376" s="32" t="s">
        <v>82</v>
      </c>
      <c r="E376" s="32" t="s">
        <v>82</v>
      </c>
      <c r="F376" s="9"/>
    </row>
    <row r="377" spans="1:8" ht="14.25" x14ac:dyDescent="0.15">
      <c r="B377" s="34" t="s">
        <v>82</v>
      </c>
      <c r="C377" s="34" t="s">
        <v>82</v>
      </c>
      <c r="D377" s="34" t="s">
        <v>83</v>
      </c>
      <c r="E377" s="34" t="s">
        <v>83</v>
      </c>
      <c r="F377" s="9"/>
    </row>
    <row r="378" spans="1:8" ht="14.25" x14ac:dyDescent="0.15">
      <c r="B378" s="34" t="s">
        <v>84</v>
      </c>
      <c r="C378" s="34" t="s">
        <v>83</v>
      </c>
      <c r="D378" s="35" t="s">
        <v>120</v>
      </c>
      <c r="E378" s="35" t="s">
        <v>120</v>
      </c>
      <c r="F378" s="9"/>
    </row>
    <row r="379" spans="1:8" ht="14.25" x14ac:dyDescent="0.15">
      <c r="B379" s="34" t="s">
        <v>122</v>
      </c>
      <c r="C379" s="34" t="s">
        <v>122</v>
      </c>
      <c r="D379" s="35" t="s">
        <v>124</v>
      </c>
      <c r="E379" s="35" t="s">
        <v>124</v>
      </c>
      <c r="F379" s="9"/>
    </row>
    <row r="380" spans="1:8" ht="12.75" x14ac:dyDescent="0.15">
      <c r="B380" s="64"/>
      <c r="C380" s="64"/>
      <c r="D380" s="58"/>
      <c r="E380" s="64"/>
    </row>
    <row r="381" spans="1:8" ht="12.75" x14ac:dyDescent="0.15">
      <c r="D381" s="25"/>
    </row>
    <row r="382" spans="1:8" ht="17.45" customHeight="1" x14ac:dyDescent="0.2">
      <c r="A382" s="55"/>
      <c r="B382" s="55" t="s">
        <v>139</v>
      </c>
      <c r="D382" s="25"/>
    </row>
    <row r="383" spans="1:8" ht="14.25" x14ac:dyDescent="0.15">
      <c r="B383" s="56" t="s">
        <v>42</v>
      </c>
      <c r="C383" s="56" t="s">
        <v>43</v>
      </c>
      <c r="D383" s="56" t="s">
        <v>44</v>
      </c>
      <c r="E383" s="56" t="s">
        <v>45</v>
      </c>
      <c r="F383" s="56" t="s">
        <v>46</v>
      </c>
      <c r="G383" s="57" t="s">
        <v>47</v>
      </c>
      <c r="H383" s="9"/>
    </row>
    <row r="384" spans="1:8" ht="14.25" x14ac:dyDescent="0.15">
      <c r="B384" s="32" t="s">
        <v>81</v>
      </c>
      <c r="C384" s="32" t="s">
        <v>81</v>
      </c>
      <c r="D384" s="32" t="s">
        <v>81</v>
      </c>
      <c r="E384" s="32" t="s">
        <v>82</v>
      </c>
      <c r="F384" s="32" t="s">
        <v>82</v>
      </c>
      <c r="G384" s="32" t="s">
        <v>82</v>
      </c>
      <c r="H384" s="9"/>
    </row>
    <row r="385" spans="1:8" ht="14.25" x14ac:dyDescent="0.15">
      <c r="B385" s="34" t="s">
        <v>82</v>
      </c>
      <c r="C385" s="34" t="s">
        <v>82</v>
      </c>
      <c r="D385" s="34" t="s">
        <v>82</v>
      </c>
      <c r="E385" s="34" t="s">
        <v>82</v>
      </c>
      <c r="F385" s="34" t="s">
        <v>83</v>
      </c>
      <c r="G385" s="34" t="s">
        <v>83</v>
      </c>
      <c r="H385" s="9"/>
    </row>
    <row r="386" spans="1:8" ht="14.25" x14ac:dyDescent="0.15">
      <c r="B386" s="34" t="s">
        <v>84</v>
      </c>
      <c r="C386" s="34" t="s">
        <v>84</v>
      </c>
      <c r="D386" s="34" t="s">
        <v>83</v>
      </c>
      <c r="E386" s="34" t="s">
        <v>83</v>
      </c>
      <c r="F386" s="34" t="s">
        <v>119</v>
      </c>
      <c r="G386" s="35" t="s">
        <v>120</v>
      </c>
      <c r="H386" s="9"/>
    </row>
    <row r="387" spans="1:8" ht="14.25" x14ac:dyDescent="0.15">
      <c r="B387" s="34" t="s">
        <v>121</v>
      </c>
      <c r="C387" s="34" t="s">
        <v>122</v>
      </c>
      <c r="D387" s="34" t="s">
        <v>122</v>
      </c>
      <c r="E387" s="34" t="s">
        <v>122</v>
      </c>
      <c r="F387" s="34" t="s">
        <v>123</v>
      </c>
      <c r="G387" s="35" t="s">
        <v>124</v>
      </c>
      <c r="H387" s="9"/>
    </row>
    <row r="388" spans="1:8" ht="12.75" x14ac:dyDescent="0.15">
      <c r="B388" s="18"/>
      <c r="C388" s="18"/>
      <c r="D388" s="19"/>
      <c r="E388" s="18"/>
      <c r="F388" s="18"/>
      <c r="G388" s="18"/>
    </row>
    <row r="389" spans="1:8" ht="14.25" x14ac:dyDescent="0.15">
      <c r="B389" s="56" t="s">
        <v>51</v>
      </c>
      <c r="C389" s="56" t="s">
        <v>52</v>
      </c>
      <c r="D389" s="38"/>
    </row>
    <row r="390" spans="1:8" ht="14.25" x14ac:dyDescent="0.15">
      <c r="B390" s="32" t="s">
        <v>82</v>
      </c>
      <c r="C390" s="32" t="s">
        <v>82</v>
      </c>
      <c r="D390" s="38"/>
    </row>
    <row r="391" spans="1:8" ht="14.25" x14ac:dyDescent="0.15">
      <c r="B391" s="34" t="s">
        <v>83</v>
      </c>
      <c r="C391" s="34" t="s">
        <v>83</v>
      </c>
      <c r="D391" s="38"/>
    </row>
    <row r="392" spans="1:8" ht="14.25" x14ac:dyDescent="0.15">
      <c r="B392" s="35" t="s">
        <v>120</v>
      </c>
      <c r="C392" s="35" t="s">
        <v>120</v>
      </c>
      <c r="D392" s="38"/>
    </row>
    <row r="393" spans="1:8" ht="14.25" x14ac:dyDescent="0.15">
      <c r="B393" s="35" t="s">
        <v>124</v>
      </c>
      <c r="C393" s="35" t="s">
        <v>124</v>
      </c>
      <c r="D393" s="38"/>
    </row>
    <row r="394" spans="1:8" ht="12.75" x14ac:dyDescent="0.15">
      <c r="B394" s="18"/>
      <c r="C394" s="18"/>
      <c r="D394" s="25"/>
    </row>
    <row r="395" spans="1:8" ht="14.25" x14ac:dyDescent="0.15">
      <c r="B395" s="39" t="s">
        <v>68</v>
      </c>
      <c r="C395" s="59" t="s">
        <v>90</v>
      </c>
      <c r="D395" s="59" t="s">
        <v>70</v>
      </c>
      <c r="E395" s="59" t="s">
        <v>125</v>
      </c>
      <c r="F395" s="59" t="s">
        <v>126</v>
      </c>
      <c r="G395" s="59" t="s">
        <v>127</v>
      </c>
      <c r="H395" s="9"/>
    </row>
    <row r="396" spans="1:8" ht="14.25" x14ac:dyDescent="0.15">
      <c r="B396" s="41" t="s">
        <v>71</v>
      </c>
      <c r="C396" s="41" t="s">
        <v>140</v>
      </c>
      <c r="D396" s="41" t="s">
        <v>114</v>
      </c>
      <c r="E396" s="41" t="s">
        <v>136</v>
      </c>
      <c r="F396" s="41" t="s">
        <v>136</v>
      </c>
      <c r="G396" s="41" t="s">
        <v>136</v>
      </c>
      <c r="H396" s="9"/>
    </row>
    <row r="397" spans="1:8" ht="14.25" x14ac:dyDescent="0.15">
      <c r="B397" s="42" t="s">
        <v>74</v>
      </c>
      <c r="C397" s="42" t="s">
        <v>114</v>
      </c>
      <c r="D397" s="42" t="s">
        <v>116</v>
      </c>
      <c r="E397" s="42" t="s">
        <v>141</v>
      </c>
      <c r="F397" s="42" t="s">
        <v>141</v>
      </c>
      <c r="G397" s="42" t="s">
        <v>141</v>
      </c>
      <c r="H397" s="9"/>
    </row>
    <row r="398" spans="1:8" ht="14.25" x14ac:dyDescent="0.15">
      <c r="B398" s="42" t="s">
        <v>77</v>
      </c>
      <c r="C398" s="42" t="s">
        <v>142</v>
      </c>
      <c r="D398" s="42" t="s">
        <v>115</v>
      </c>
      <c r="E398" s="42" t="s">
        <v>116</v>
      </c>
      <c r="F398" s="42" t="s">
        <v>116</v>
      </c>
      <c r="G398" s="42" t="s">
        <v>116</v>
      </c>
      <c r="H398" s="9"/>
    </row>
    <row r="399" spans="1:8" ht="12.75" x14ac:dyDescent="0.15">
      <c r="B399" s="18"/>
      <c r="C399" s="18"/>
      <c r="D399" s="19"/>
      <c r="E399" s="18"/>
      <c r="F399" s="18"/>
      <c r="G399" s="18"/>
    </row>
    <row r="400" spans="1:8" ht="17.45" customHeight="1" x14ac:dyDescent="0.2">
      <c r="A400" s="60"/>
      <c r="B400" s="60" t="s">
        <v>143</v>
      </c>
      <c r="D400" s="25"/>
    </row>
    <row r="401" spans="2:8" ht="12.75" x14ac:dyDescent="0.15">
      <c r="D401" s="25"/>
    </row>
    <row r="402" spans="2:8" ht="14.25" x14ac:dyDescent="0.15">
      <c r="B402" s="44" t="s">
        <v>42</v>
      </c>
      <c r="C402" s="44" t="s">
        <v>43</v>
      </c>
      <c r="D402" s="44" t="s">
        <v>44</v>
      </c>
      <c r="E402" s="44" t="s">
        <v>45</v>
      </c>
      <c r="F402" s="44" t="s">
        <v>46</v>
      </c>
      <c r="G402" s="45" t="s">
        <v>47</v>
      </c>
      <c r="H402" s="9"/>
    </row>
    <row r="403" spans="2:8" ht="14.25" x14ac:dyDescent="0.15">
      <c r="B403" s="32" t="s">
        <v>81</v>
      </c>
      <c r="C403" s="32" t="s">
        <v>81</v>
      </c>
      <c r="D403" s="32" t="s">
        <v>81</v>
      </c>
      <c r="E403" s="32" t="s">
        <v>81</v>
      </c>
      <c r="F403" s="32" t="s">
        <v>81</v>
      </c>
      <c r="G403" s="32" t="s">
        <v>81</v>
      </c>
      <c r="H403" s="9"/>
    </row>
    <row r="404" spans="2:8" ht="14.25" x14ac:dyDescent="0.15">
      <c r="B404" s="34" t="s">
        <v>81</v>
      </c>
      <c r="C404" s="34" t="s">
        <v>81</v>
      </c>
      <c r="D404" s="34" t="s">
        <v>81</v>
      </c>
      <c r="E404" s="34" t="s">
        <v>81</v>
      </c>
      <c r="F404" s="34" t="s">
        <v>82</v>
      </c>
      <c r="G404" s="34" t="s">
        <v>82</v>
      </c>
      <c r="H404" s="9"/>
    </row>
    <row r="405" spans="2:8" ht="14.25" x14ac:dyDescent="0.15">
      <c r="B405" s="34" t="s">
        <v>81</v>
      </c>
      <c r="C405" s="34" t="s">
        <v>81</v>
      </c>
      <c r="D405" s="34" t="s">
        <v>81</v>
      </c>
      <c r="E405" s="34" t="s">
        <v>84</v>
      </c>
      <c r="F405" s="34" t="s">
        <v>84</v>
      </c>
      <c r="G405" s="34" t="s">
        <v>84</v>
      </c>
      <c r="H405" s="9"/>
    </row>
    <row r="406" spans="2:8" ht="14.25" x14ac:dyDescent="0.15">
      <c r="B406" s="34" t="s">
        <v>84</v>
      </c>
      <c r="C406" s="34" t="s">
        <v>84</v>
      </c>
      <c r="D406" s="34" t="s">
        <v>84</v>
      </c>
      <c r="E406" s="34" t="s">
        <v>144</v>
      </c>
      <c r="F406" s="34" t="s">
        <v>144</v>
      </c>
      <c r="G406" s="34" t="s">
        <v>145</v>
      </c>
      <c r="H406" s="9"/>
    </row>
    <row r="407" spans="2:8" ht="12.75" x14ac:dyDescent="0.15">
      <c r="B407" s="18"/>
      <c r="C407" s="18"/>
      <c r="D407" s="19"/>
      <c r="E407" s="18"/>
      <c r="F407" s="18"/>
      <c r="G407" s="18"/>
    </row>
    <row r="408" spans="2:8" ht="14.25" x14ac:dyDescent="0.15">
      <c r="B408" s="44" t="s">
        <v>51</v>
      </c>
      <c r="C408" s="44" t="s">
        <v>52</v>
      </c>
      <c r="D408" s="44" t="s">
        <v>53</v>
      </c>
      <c r="E408" s="44" t="s">
        <v>54</v>
      </c>
      <c r="F408" s="44" t="s">
        <v>55</v>
      </c>
      <c r="G408" s="45" t="s">
        <v>56</v>
      </c>
      <c r="H408" s="9"/>
    </row>
    <row r="409" spans="2:8" ht="14.25" x14ac:dyDescent="0.15">
      <c r="B409" s="32" t="s">
        <v>81</v>
      </c>
      <c r="C409" s="32" t="s">
        <v>81</v>
      </c>
      <c r="D409" s="32" t="s">
        <v>81</v>
      </c>
      <c r="E409" s="32" t="s">
        <v>81</v>
      </c>
      <c r="F409" s="32" t="s">
        <v>81</v>
      </c>
      <c r="G409" s="32" t="s">
        <v>81</v>
      </c>
      <c r="H409" s="9"/>
    </row>
    <row r="410" spans="2:8" ht="14.25" x14ac:dyDescent="0.15">
      <c r="B410" s="34" t="s">
        <v>82</v>
      </c>
      <c r="C410" s="34" t="s">
        <v>82</v>
      </c>
      <c r="D410" s="34" t="s">
        <v>82</v>
      </c>
      <c r="E410" s="34" t="s">
        <v>82</v>
      </c>
      <c r="F410" s="34" t="s">
        <v>82</v>
      </c>
      <c r="G410" s="34" t="s">
        <v>82</v>
      </c>
      <c r="H410" s="9"/>
    </row>
    <row r="411" spans="2:8" ht="14.25" x14ac:dyDescent="0.15">
      <c r="B411" s="34" t="s">
        <v>84</v>
      </c>
      <c r="C411" s="34" t="s">
        <v>84</v>
      </c>
      <c r="D411" s="34" t="s">
        <v>83</v>
      </c>
      <c r="E411" s="34" t="s">
        <v>83</v>
      </c>
      <c r="F411" s="34" t="s">
        <v>83</v>
      </c>
      <c r="G411" s="34" t="s">
        <v>83</v>
      </c>
      <c r="H411" s="9"/>
    </row>
    <row r="412" spans="2:8" ht="14.25" x14ac:dyDescent="0.15">
      <c r="B412" s="34" t="s">
        <v>121</v>
      </c>
      <c r="C412" s="34" t="s">
        <v>121</v>
      </c>
      <c r="D412" s="34" t="s">
        <v>122</v>
      </c>
      <c r="E412" s="34" t="s">
        <v>123</v>
      </c>
      <c r="F412" s="34" t="s">
        <v>123</v>
      </c>
      <c r="G412" s="35" t="s">
        <v>124</v>
      </c>
      <c r="H412" s="9"/>
    </row>
    <row r="413" spans="2:8" ht="14.25" x14ac:dyDescent="0.15">
      <c r="B413" s="46"/>
      <c r="C413" s="46"/>
      <c r="D413" s="46"/>
      <c r="E413" s="46"/>
      <c r="F413" s="46"/>
      <c r="G413" s="47"/>
    </row>
    <row r="414" spans="2:8" ht="12.75" x14ac:dyDescent="0.15">
      <c r="D414" s="25"/>
    </row>
    <row r="415" spans="2:8" ht="14.25" x14ac:dyDescent="0.15">
      <c r="B415" s="39" t="s">
        <v>68</v>
      </c>
      <c r="C415" s="48" t="s">
        <v>90</v>
      </c>
      <c r="D415" s="48" t="s">
        <v>70</v>
      </c>
      <c r="E415" s="48" t="s">
        <v>146</v>
      </c>
      <c r="F415" s="48" t="s">
        <v>126</v>
      </c>
      <c r="G415" s="48" t="s">
        <v>127</v>
      </c>
      <c r="H415" s="9"/>
    </row>
    <row r="416" spans="2:8" ht="14.25" x14ac:dyDescent="0.15">
      <c r="B416" s="41" t="s">
        <v>71</v>
      </c>
      <c r="C416" s="41" t="s">
        <v>147</v>
      </c>
      <c r="D416" s="41" t="s">
        <v>148</v>
      </c>
      <c r="E416" s="41" t="s">
        <v>128</v>
      </c>
      <c r="F416" s="41" t="s">
        <v>128</v>
      </c>
      <c r="G416" s="41" t="s">
        <v>128</v>
      </c>
      <c r="H416" s="9"/>
    </row>
    <row r="417" spans="1:8" ht="14.25" x14ac:dyDescent="0.15">
      <c r="B417" s="49"/>
      <c r="C417" s="49"/>
      <c r="D417" s="49"/>
      <c r="E417" s="49"/>
      <c r="F417" s="49"/>
      <c r="G417" s="49"/>
    </row>
    <row r="418" spans="1:8" ht="17.45" customHeight="1" x14ac:dyDescent="0.2">
      <c r="A418" s="60"/>
      <c r="B418" s="60" t="s">
        <v>149</v>
      </c>
      <c r="D418" s="25"/>
    </row>
    <row r="419" spans="1:8" ht="12.75" x14ac:dyDescent="0.15">
      <c r="D419" s="25"/>
    </row>
    <row r="420" spans="1:8" ht="14.25" x14ac:dyDescent="0.15">
      <c r="B420" s="44" t="s">
        <v>42</v>
      </c>
      <c r="C420" s="44" t="s">
        <v>43</v>
      </c>
      <c r="D420" s="44" t="s">
        <v>44</v>
      </c>
      <c r="E420" s="44" t="s">
        <v>45</v>
      </c>
      <c r="F420" s="44" t="s">
        <v>46</v>
      </c>
      <c r="G420" s="45" t="s">
        <v>47</v>
      </c>
      <c r="H420" s="9"/>
    </row>
    <row r="421" spans="1:8" ht="14.25" x14ac:dyDescent="0.15">
      <c r="B421" s="32" t="s">
        <v>81</v>
      </c>
      <c r="C421" s="32" t="s">
        <v>81</v>
      </c>
      <c r="D421" s="32" t="s">
        <v>81</v>
      </c>
      <c r="E421" s="32" t="s">
        <v>81</v>
      </c>
      <c r="F421" s="32" t="s">
        <v>81</v>
      </c>
      <c r="G421" s="32" t="s">
        <v>81</v>
      </c>
      <c r="H421" s="9"/>
    </row>
    <row r="422" spans="1:8" ht="14.25" x14ac:dyDescent="0.15">
      <c r="B422" s="34" t="s">
        <v>81</v>
      </c>
      <c r="C422" s="34" t="s">
        <v>81</v>
      </c>
      <c r="D422" s="34" t="s">
        <v>81</v>
      </c>
      <c r="E422" s="34" t="s">
        <v>82</v>
      </c>
      <c r="F422" s="34" t="s">
        <v>82</v>
      </c>
      <c r="G422" s="34" t="s">
        <v>82</v>
      </c>
      <c r="H422" s="9"/>
    </row>
    <row r="423" spans="1:8" ht="14.25" x14ac:dyDescent="0.15">
      <c r="B423" s="34" t="s">
        <v>81</v>
      </c>
      <c r="C423" s="34" t="s">
        <v>81</v>
      </c>
      <c r="D423" s="34" t="s">
        <v>84</v>
      </c>
      <c r="E423" s="34" t="s">
        <v>84</v>
      </c>
      <c r="F423" s="34" t="s">
        <v>84</v>
      </c>
      <c r="G423" s="34" t="s">
        <v>84</v>
      </c>
      <c r="H423" s="9"/>
    </row>
    <row r="424" spans="1:8" ht="14.25" x14ac:dyDescent="0.15">
      <c r="B424" s="34" t="s">
        <v>84</v>
      </c>
      <c r="C424" s="34" t="s">
        <v>84</v>
      </c>
      <c r="D424" s="34" t="s">
        <v>144</v>
      </c>
      <c r="E424" s="34" t="s">
        <v>144</v>
      </c>
      <c r="F424" s="34" t="s">
        <v>121</v>
      </c>
      <c r="G424" s="34" t="s">
        <v>121</v>
      </c>
      <c r="H424" s="9"/>
    </row>
    <row r="425" spans="1:8" ht="12.75" x14ac:dyDescent="0.15">
      <c r="B425" s="18"/>
      <c r="C425" s="18"/>
      <c r="D425" s="19"/>
      <c r="E425" s="18"/>
      <c r="F425" s="18"/>
      <c r="G425" s="18"/>
    </row>
    <row r="426" spans="1:8" ht="14.25" x14ac:dyDescent="0.15">
      <c r="B426" s="44" t="s">
        <v>51</v>
      </c>
      <c r="C426" s="44" t="s">
        <v>52</v>
      </c>
      <c r="D426" s="9"/>
    </row>
    <row r="427" spans="1:8" ht="14.25" x14ac:dyDescent="0.15">
      <c r="B427" s="32" t="s">
        <v>81</v>
      </c>
      <c r="C427" s="32" t="s">
        <v>81</v>
      </c>
      <c r="D427" s="9"/>
    </row>
    <row r="428" spans="1:8" ht="14.25" x14ac:dyDescent="0.15">
      <c r="B428" s="34" t="s">
        <v>82</v>
      </c>
      <c r="C428" s="34" t="s">
        <v>82</v>
      </c>
      <c r="D428" s="9"/>
    </row>
    <row r="429" spans="1:8" ht="14.25" x14ac:dyDescent="0.15">
      <c r="B429" s="34" t="s">
        <v>83</v>
      </c>
      <c r="C429" s="34" t="s">
        <v>83</v>
      </c>
      <c r="D429" s="9"/>
    </row>
    <row r="430" spans="1:8" ht="14.25" x14ac:dyDescent="0.15">
      <c r="B430" s="34" t="s">
        <v>123</v>
      </c>
      <c r="C430" s="34" t="s">
        <v>123</v>
      </c>
      <c r="D430" s="9"/>
    </row>
    <row r="431" spans="1:8" ht="14.25" x14ac:dyDescent="0.15">
      <c r="B431" s="46"/>
      <c r="C431" s="46"/>
      <c r="D431" s="37"/>
      <c r="E431" s="37"/>
    </row>
    <row r="432" spans="1:8" ht="12.75" x14ac:dyDescent="0.15">
      <c r="D432" s="25"/>
    </row>
    <row r="433" spans="1:8" ht="14.25" x14ac:dyDescent="0.15">
      <c r="B433" s="39" t="s">
        <v>68</v>
      </c>
      <c r="C433" s="48" t="s">
        <v>90</v>
      </c>
      <c r="D433" s="48" t="s">
        <v>70</v>
      </c>
      <c r="E433" s="48" t="s">
        <v>146</v>
      </c>
      <c r="F433" s="48" t="s">
        <v>126</v>
      </c>
      <c r="G433" s="48" t="s">
        <v>127</v>
      </c>
      <c r="H433" s="9"/>
    </row>
    <row r="434" spans="1:8" ht="14.25" x14ac:dyDescent="0.15">
      <c r="B434" s="41" t="s">
        <v>74</v>
      </c>
      <c r="C434" s="41" t="s">
        <v>150</v>
      </c>
      <c r="D434" s="41" t="s">
        <v>151</v>
      </c>
      <c r="E434" s="41" t="s">
        <v>152</v>
      </c>
      <c r="F434" s="41" t="s">
        <v>152</v>
      </c>
      <c r="G434" s="41" t="s">
        <v>152</v>
      </c>
      <c r="H434" s="9"/>
    </row>
    <row r="435" spans="1:8" ht="12.75" x14ac:dyDescent="0.15">
      <c r="B435" s="18"/>
      <c r="C435" s="18"/>
      <c r="D435" s="19"/>
      <c r="E435" s="18"/>
      <c r="F435" s="18"/>
      <c r="G435" s="18"/>
    </row>
    <row r="436" spans="1:8" ht="17.45" customHeight="1" x14ac:dyDescent="0.2">
      <c r="A436" s="60"/>
      <c r="B436" s="60" t="s">
        <v>153</v>
      </c>
      <c r="D436" s="25"/>
    </row>
    <row r="437" spans="1:8" ht="12.75" x14ac:dyDescent="0.15">
      <c r="D437" s="25"/>
    </row>
    <row r="438" spans="1:8" ht="14.25" x14ac:dyDescent="0.15">
      <c r="B438" s="44" t="s">
        <v>42</v>
      </c>
      <c r="C438" s="44" t="s">
        <v>43</v>
      </c>
      <c r="D438" s="44" t="s">
        <v>44</v>
      </c>
      <c r="E438" s="44" t="s">
        <v>45</v>
      </c>
      <c r="F438" s="44" t="s">
        <v>46</v>
      </c>
      <c r="G438" s="45" t="s">
        <v>47</v>
      </c>
      <c r="H438" s="9"/>
    </row>
    <row r="439" spans="1:8" ht="14.25" x14ac:dyDescent="0.15">
      <c r="B439" s="32" t="s">
        <v>81</v>
      </c>
      <c r="C439" s="32" t="s">
        <v>81</v>
      </c>
      <c r="D439" s="32" t="s">
        <v>81</v>
      </c>
      <c r="E439" s="32" t="s">
        <v>81</v>
      </c>
      <c r="F439" s="32" t="s">
        <v>81</v>
      </c>
      <c r="G439" s="32" t="s">
        <v>81</v>
      </c>
      <c r="H439" s="9"/>
    </row>
    <row r="440" spans="1:8" ht="14.25" x14ac:dyDescent="0.15">
      <c r="B440" s="34" t="s">
        <v>81</v>
      </c>
      <c r="C440" s="34" t="s">
        <v>81</v>
      </c>
      <c r="D440" s="34" t="s">
        <v>81</v>
      </c>
      <c r="E440" s="34" t="s">
        <v>81</v>
      </c>
      <c r="F440" s="34" t="s">
        <v>81</v>
      </c>
      <c r="G440" s="34" t="s">
        <v>81</v>
      </c>
      <c r="H440" s="9"/>
    </row>
    <row r="441" spans="1:8" ht="14.25" x14ac:dyDescent="0.15">
      <c r="B441" s="34" t="s">
        <v>81</v>
      </c>
      <c r="C441" s="34" t="s">
        <v>81</v>
      </c>
      <c r="D441" s="34" t="s">
        <v>81</v>
      </c>
      <c r="E441" s="34" t="s">
        <v>82</v>
      </c>
      <c r="F441" s="34" t="s">
        <v>84</v>
      </c>
      <c r="G441" s="34" t="s">
        <v>84</v>
      </c>
      <c r="H441" s="9"/>
    </row>
    <row r="442" spans="1:8" ht="14.25" x14ac:dyDescent="0.15">
      <c r="B442" s="34" t="s">
        <v>84</v>
      </c>
      <c r="C442" s="34" t="s">
        <v>84</v>
      </c>
      <c r="D442" s="34" t="s">
        <v>84</v>
      </c>
      <c r="E442" s="34" t="s">
        <v>84</v>
      </c>
      <c r="F442" s="34" t="s">
        <v>144</v>
      </c>
      <c r="G442" s="34" t="s">
        <v>144</v>
      </c>
      <c r="H442" s="9"/>
    </row>
    <row r="443" spans="1:8" ht="12.75" x14ac:dyDescent="0.15">
      <c r="B443" s="18"/>
      <c r="C443" s="18"/>
      <c r="D443" s="19"/>
      <c r="E443" s="18"/>
      <c r="F443" s="18"/>
      <c r="G443" s="18"/>
    </row>
    <row r="444" spans="1:8" ht="14.25" x14ac:dyDescent="0.15">
      <c r="B444" s="44" t="s">
        <v>51</v>
      </c>
      <c r="C444" s="44" t="s">
        <v>52</v>
      </c>
      <c r="D444" s="44" t="s">
        <v>53</v>
      </c>
      <c r="E444" s="44" t="s">
        <v>54</v>
      </c>
      <c r="F444" s="44" t="s">
        <v>55</v>
      </c>
      <c r="G444" s="45" t="s">
        <v>56</v>
      </c>
      <c r="H444" s="9"/>
    </row>
    <row r="445" spans="1:8" ht="14.25" x14ac:dyDescent="0.15">
      <c r="B445" s="32" t="s">
        <v>81</v>
      </c>
      <c r="C445" s="32" t="s">
        <v>81</v>
      </c>
      <c r="D445" s="32" t="s">
        <v>81</v>
      </c>
      <c r="E445" s="32" t="s">
        <v>81</v>
      </c>
      <c r="F445" s="32" t="s">
        <v>81</v>
      </c>
      <c r="G445" s="32" t="s">
        <v>81</v>
      </c>
      <c r="H445" s="9"/>
    </row>
    <row r="446" spans="1:8" ht="14.25" x14ac:dyDescent="0.15">
      <c r="B446" s="34" t="s">
        <v>82</v>
      </c>
      <c r="C446" s="34" t="s">
        <v>82</v>
      </c>
      <c r="D446" s="34" t="s">
        <v>82</v>
      </c>
      <c r="E446" s="34" t="s">
        <v>82</v>
      </c>
      <c r="F446" s="34" t="s">
        <v>82</v>
      </c>
      <c r="G446" s="34" t="s">
        <v>82</v>
      </c>
      <c r="H446" s="9"/>
    </row>
    <row r="447" spans="1:8" ht="14.25" x14ac:dyDescent="0.15">
      <c r="B447" s="34" t="s">
        <v>84</v>
      </c>
      <c r="C447" s="34" t="s">
        <v>84</v>
      </c>
      <c r="D447" s="34" t="s">
        <v>84</v>
      </c>
      <c r="E447" s="34" t="s">
        <v>84</v>
      </c>
      <c r="F447" s="34" t="s">
        <v>83</v>
      </c>
      <c r="G447" s="34" t="s">
        <v>83</v>
      </c>
      <c r="H447" s="9"/>
    </row>
    <row r="448" spans="1:8" ht="14.25" x14ac:dyDescent="0.15">
      <c r="B448" s="34" t="s">
        <v>144</v>
      </c>
      <c r="C448" s="34" t="s">
        <v>145</v>
      </c>
      <c r="D448" s="34" t="s">
        <v>121</v>
      </c>
      <c r="E448" s="34" t="s">
        <v>121</v>
      </c>
      <c r="F448" s="34" t="s">
        <v>121</v>
      </c>
      <c r="G448" s="34" t="s">
        <v>122</v>
      </c>
      <c r="H448" s="9"/>
    </row>
    <row r="449" spans="2:8" ht="12.75" x14ac:dyDescent="0.15">
      <c r="B449" s="18"/>
      <c r="C449" s="18"/>
      <c r="D449" s="19"/>
      <c r="E449" s="18"/>
      <c r="F449" s="18"/>
      <c r="G449" s="18"/>
    </row>
    <row r="450" spans="2:8" ht="14.25" x14ac:dyDescent="0.15">
      <c r="B450" s="44" t="s">
        <v>58</v>
      </c>
      <c r="C450" s="44" t="s">
        <v>59</v>
      </c>
      <c r="D450" s="44" t="s">
        <v>60</v>
      </c>
      <c r="E450" s="9"/>
    </row>
    <row r="451" spans="2:8" ht="14.25" x14ac:dyDescent="0.15">
      <c r="B451" s="32" t="s">
        <v>81</v>
      </c>
      <c r="C451" s="32" t="s">
        <v>81</v>
      </c>
      <c r="D451" s="32" t="s">
        <v>81</v>
      </c>
      <c r="E451" s="9"/>
    </row>
    <row r="452" spans="2:8" ht="14.25" x14ac:dyDescent="0.15">
      <c r="B452" s="34" t="s">
        <v>82</v>
      </c>
      <c r="C452" s="34" t="s">
        <v>82</v>
      </c>
      <c r="D452" s="34" t="s">
        <v>82</v>
      </c>
      <c r="E452" s="9"/>
    </row>
    <row r="453" spans="2:8" ht="14.25" x14ac:dyDescent="0.15">
      <c r="B453" s="34" t="s">
        <v>83</v>
      </c>
      <c r="C453" s="34" t="s">
        <v>83</v>
      </c>
      <c r="D453" s="34" t="s">
        <v>83</v>
      </c>
      <c r="E453" s="9"/>
    </row>
    <row r="454" spans="2:8" ht="14.25" x14ac:dyDescent="0.15">
      <c r="B454" s="34" t="s">
        <v>123</v>
      </c>
      <c r="C454" s="34" t="s">
        <v>123</v>
      </c>
      <c r="D454" s="34" t="s">
        <v>123</v>
      </c>
      <c r="E454" s="9"/>
    </row>
    <row r="455" spans="2:8" ht="12.75" x14ac:dyDescent="0.15">
      <c r="B455" s="18"/>
      <c r="C455" s="18"/>
      <c r="D455" s="19"/>
    </row>
    <row r="456" spans="2:8" ht="12.75" x14ac:dyDescent="0.15">
      <c r="D456" s="25"/>
    </row>
    <row r="457" spans="2:8" ht="14.25" x14ac:dyDescent="0.15">
      <c r="B457" s="39" t="s">
        <v>68</v>
      </c>
      <c r="C457" s="48" t="s">
        <v>90</v>
      </c>
      <c r="D457" s="48" t="s">
        <v>70</v>
      </c>
      <c r="E457" s="48" t="s">
        <v>146</v>
      </c>
      <c r="F457" s="48" t="s">
        <v>126</v>
      </c>
      <c r="G457" s="48" t="s">
        <v>127</v>
      </c>
      <c r="H457" s="9"/>
    </row>
    <row r="458" spans="2:8" ht="14.25" x14ac:dyDescent="0.15">
      <c r="B458" s="41" t="s">
        <v>77</v>
      </c>
      <c r="C458" s="66" t="s">
        <v>100</v>
      </c>
      <c r="D458" s="66" t="s">
        <v>101</v>
      </c>
      <c r="E458" s="67" t="s">
        <v>154</v>
      </c>
      <c r="F458" s="41" t="s">
        <v>154</v>
      </c>
      <c r="G458" s="41" t="s">
        <v>154</v>
      </c>
      <c r="H458" s="9"/>
    </row>
    <row r="459" spans="2:8" ht="12.75" x14ac:dyDescent="0.15">
      <c r="B459" s="18"/>
      <c r="C459" s="18"/>
      <c r="D459" s="19"/>
      <c r="E459" s="18"/>
      <c r="F459" s="18"/>
      <c r="G459" s="18"/>
    </row>
    <row r="460" spans="2:8" ht="12.75" x14ac:dyDescent="0.15">
      <c r="D460" s="25"/>
    </row>
    <row r="461" spans="2:8" ht="12.75" x14ac:dyDescent="0.15">
      <c r="D461" s="25"/>
    </row>
    <row r="462" spans="2:8" ht="12.75" x14ac:dyDescent="0.15">
      <c r="D462" s="25"/>
    </row>
    <row r="463" spans="2:8" ht="12.75" x14ac:dyDescent="0.15">
      <c r="D463" s="25"/>
    </row>
    <row r="464" spans="2:8" ht="12.75" x14ac:dyDescent="0.15">
      <c r="D464" s="25"/>
    </row>
    <row r="465" spans="1:8" ht="12.75" x14ac:dyDescent="0.15">
      <c r="D465" s="25"/>
    </row>
    <row r="466" spans="1:8" ht="12.75" x14ac:dyDescent="0.15">
      <c r="D466" s="25"/>
    </row>
    <row r="467" spans="1:8" ht="12.75" x14ac:dyDescent="0.15">
      <c r="D467" s="25"/>
    </row>
    <row r="468" spans="1:8" ht="12.75" x14ac:dyDescent="0.15">
      <c r="D468" s="25"/>
    </row>
    <row r="469" spans="1:8" ht="12.75" x14ac:dyDescent="0.15">
      <c r="D469" s="25"/>
    </row>
    <row r="470" spans="1:8" ht="12.75" x14ac:dyDescent="0.15">
      <c r="D470" s="25"/>
    </row>
    <row r="471" spans="1:8" ht="12.75" x14ac:dyDescent="0.15">
      <c r="D471" s="25"/>
    </row>
    <row r="472" spans="1:8" ht="17.45" customHeight="1" x14ac:dyDescent="0.2">
      <c r="A472" s="60"/>
      <c r="B472" s="60" t="s">
        <v>155</v>
      </c>
      <c r="D472" s="25"/>
    </row>
    <row r="473" spans="1:8" ht="14.25" x14ac:dyDescent="0.15">
      <c r="B473" s="52" t="s">
        <v>42</v>
      </c>
      <c r="C473" s="52" t="s">
        <v>43</v>
      </c>
      <c r="D473" s="52" t="s">
        <v>44</v>
      </c>
      <c r="E473" s="52" t="s">
        <v>45</v>
      </c>
      <c r="F473" s="52" t="s">
        <v>46</v>
      </c>
      <c r="G473" s="53" t="s">
        <v>47</v>
      </c>
      <c r="H473" s="9"/>
    </row>
    <row r="474" spans="1:8" ht="14.25" x14ac:dyDescent="0.15">
      <c r="B474" s="32" t="s">
        <v>81</v>
      </c>
      <c r="C474" s="32" t="s">
        <v>81</v>
      </c>
      <c r="D474" s="32" t="s">
        <v>81</v>
      </c>
      <c r="E474" s="32" t="s">
        <v>81</v>
      </c>
      <c r="F474" s="32" t="s">
        <v>81</v>
      </c>
      <c r="G474" s="32" t="s">
        <v>81</v>
      </c>
      <c r="H474" s="9"/>
    </row>
    <row r="475" spans="1:8" ht="14.25" x14ac:dyDescent="0.15">
      <c r="B475" s="34" t="s">
        <v>82</v>
      </c>
      <c r="C475" s="34" t="s">
        <v>82</v>
      </c>
      <c r="D475" s="34" t="s">
        <v>82</v>
      </c>
      <c r="E475" s="34" t="s">
        <v>82</v>
      </c>
      <c r="F475" s="34" t="s">
        <v>82</v>
      </c>
      <c r="G475" s="34" t="s">
        <v>82</v>
      </c>
      <c r="H475" s="9"/>
    </row>
    <row r="476" spans="1:8" ht="14.25" x14ac:dyDescent="0.15">
      <c r="B476" s="34" t="s">
        <v>84</v>
      </c>
      <c r="C476" s="34" t="s">
        <v>84</v>
      </c>
      <c r="D476" s="34" t="s">
        <v>84</v>
      </c>
      <c r="E476" s="34" t="s">
        <v>84</v>
      </c>
      <c r="F476" s="34" t="s">
        <v>84</v>
      </c>
      <c r="G476" s="34" t="s">
        <v>83</v>
      </c>
      <c r="H476" s="9"/>
    </row>
    <row r="477" spans="1:8" ht="14.25" x14ac:dyDescent="0.15">
      <c r="B477" s="34" t="s">
        <v>144</v>
      </c>
      <c r="C477" s="34" t="s">
        <v>144</v>
      </c>
      <c r="D477" s="34" t="s">
        <v>145</v>
      </c>
      <c r="E477" s="34" t="s">
        <v>121</v>
      </c>
      <c r="F477" s="34" t="s">
        <v>121</v>
      </c>
      <c r="G477" s="34" t="s">
        <v>122</v>
      </c>
      <c r="H477" s="9"/>
    </row>
    <row r="478" spans="1:8" ht="6.4" customHeight="1" x14ac:dyDescent="0.15">
      <c r="B478" s="18"/>
      <c r="C478" s="18"/>
      <c r="D478" s="19"/>
      <c r="E478" s="18"/>
      <c r="F478" s="18"/>
      <c r="G478" s="18"/>
    </row>
    <row r="479" spans="1:8" ht="14.25" x14ac:dyDescent="0.15">
      <c r="B479" s="52" t="s">
        <v>51</v>
      </c>
      <c r="C479" s="52" t="s">
        <v>52</v>
      </c>
      <c r="D479" s="52" t="s">
        <v>53</v>
      </c>
      <c r="E479" s="9"/>
    </row>
    <row r="480" spans="1:8" ht="14.25" x14ac:dyDescent="0.15">
      <c r="B480" s="32" t="s">
        <v>81</v>
      </c>
      <c r="C480" s="32" t="s">
        <v>81</v>
      </c>
      <c r="D480" s="32" t="s">
        <v>81</v>
      </c>
      <c r="E480" s="9"/>
    </row>
    <row r="481" spans="1:8" ht="14.25" x14ac:dyDescent="0.15">
      <c r="B481" s="34" t="s">
        <v>82</v>
      </c>
      <c r="C481" s="34" t="s">
        <v>82</v>
      </c>
      <c r="D481" s="34" t="s">
        <v>82</v>
      </c>
      <c r="E481" s="9"/>
    </row>
    <row r="482" spans="1:8" ht="14.25" x14ac:dyDescent="0.15">
      <c r="B482" s="34" t="s">
        <v>83</v>
      </c>
      <c r="C482" s="34" t="s">
        <v>83</v>
      </c>
      <c r="D482" s="34" t="s">
        <v>83</v>
      </c>
      <c r="E482" s="9"/>
    </row>
    <row r="483" spans="1:8" ht="14.25" x14ac:dyDescent="0.15">
      <c r="B483" s="34" t="s">
        <v>123</v>
      </c>
      <c r="C483" s="34" t="s">
        <v>123</v>
      </c>
      <c r="D483" s="35" t="s">
        <v>124</v>
      </c>
      <c r="E483" s="9"/>
    </row>
    <row r="484" spans="1:8" ht="12.75" x14ac:dyDescent="0.15">
      <c r="B484" s="18"/>
      <c r="C484" s="18"/>
      <c r="D484" s="19"/>
    </row>
    <row r="485" spans="1:8" ht="17.45" customHeight="1" x14ac:dyDescent="0.2">
      <c r="A485" s="60"/>
      <c r="B485" s="60" t="s">
        <v>156</v>
      </c>
      <c r="D485" s="25"/>
    </row>
    <row r="486" spans="1:8" ht="14.25" x14ac:dyDescent="0.15">
      <c r="B486" s="52" t="s">
        <v>42</v>
      </c>
      <c r="C486" s="52" t="s">
        <v>43</v>
      </c>
      <c r="D486" s="52" t="s">
        <v>44</v>
      </c>
      <c r="E486" s="52" t="s">
        <v>45</v>
      </c>
      <c r="F486" s="52" t="s">
        <v>46</v>
      </c>
      <c r="G486" s="53" t="s">
        <v>47</v>
      </c>
      <c r="H486" s="9"/>
    </row>
    <row r="487" spans="1:8" ht="14.25" x14ac:dyDescent="0.15">
      <c r="B487" s="32" t="s">
        <v>81</v>
      </c>
      <c r="C487" s="32" t="s">
        <v>81</v>
      </c>
      <c r="D487" s="32" t="s">
        <v>81</v>
      </c>
      <c r="E487" s="32" t="s">
        <v>81</v>
      </c>
      <c r="F487" s="32" t="s">
        <v>81</v>
      </c>
      <c r="G487" s="32" t="s">
        <v>81</v>
      </c>
      <c r="H487" s="9"/>
    </row>
    <row r="488" spans="1:8" ht="14.25" x14ac:dyDescent="0.15">
      <c r="B488" s="34" t="s">
        <v>82</v>
      </c>
      <c r="C488" s="34" t="s">
        <v>82</v>
      </c>
      <c r="D488" s="34" t="s">
        <v>82</v>
      </c>
      <c r="E488" s="34" t="s">
        <v>82</v>
      </c>
      <c r="F488" s="34" t="s">
        <v>82</v>
      </c>
      <c r="G488" s="34" t="s">
        <v>82</v>
      </c>
      <c r="H488" s="9"/>
    </row>
    <row r="489" spans="1:8" ht="14.25" x14ac:dyDescent="0.15">
      <c r="B489" s="34" t="s">
        <v>84</v>
      </c>
      <c r="C489" s="34" t="s">
        <v>84</v>
      </c>
      <c r="D489" s="34" t="s">
        <v>84</v>
      </c>
      <c r="E489" s="34" t="s">
        <v>83</v>
      </c>
      <c r="F489" s="34" t="s">
        <v>83</v>
      </c>
      <c r="G489" s="34" t="s">
        <v>83</v>
      </c>
      <c r="H489" s="9"/>
    </row>
    <row r="490" spans="1:8" ht="14.25" x14ac:dyDescent="0.15">
      <c r="B490" s="34" t="s">
        <v>144</v>
      </c>
      <c r="C490" s="34" t="s">
        <v>145</v>
      </c>
      <c r="D490" s="34" t="s">
        <v>121</v>
      </c>
      <c r="E490" s="34" t="s">
        <v>122</v>
      </c>
      <c r="F490" s="34" t="s">
        <v>123</v>
      </c>
      <c r="G490" s="35" t="s">
        <v>124</v>
      </c>
      <c r="H490" s="9"/>
    </row>
    <row r="491" spans="1:8" ht="12.75" x14ac:dyDescent="0.15">
      <c r="B491" s="18"/>
      <c r="C491" s="18"/>
      <c r="D491" s="19"/>
      <c r="E491" s="18"/>
      <c r="F491" s="18"/>
      <c r="G491" s="18"/>
    </row>
    <row r="492" spans="1:8" ht="17.45" customHeight="1" x14ac:dyDescent="0.2">
      <c r="A492" s="60"/>
      <c r="B492" s="60" t="s">
        <v>157</v>
      </c>
      <c r="D492" s="25"/>
    </row>
    <row r="493" spans="1:8" ht="14.25" x14ac:dyDescent="0.15">
      <c r="B493" s="52" t="s">
        <v>42</v>
      </c>
      <c r="C493" s="52" t="s">
        <v>43</v>
      </c>
      <c r="D493" s="52" t="s">
        <v>44</v>
      </c>
      <c r="E493" s="52" t="s">
        <v>45</v>
      </c>
      <c r="F493" s="52" t="s">
        <v>46</v>
      </c>
      <c r="G493" s="53" t="s">
        <v>47</v>
      </c>
      <c r="H493" s="9"/>
    </row>
    <row r="494" spans="1:8" ht="14.25" x14ac:dyDescent="0.15">
      <c r="B494" s="32" t="s">
        <v>81</v>
      </c>
      <c r="C494" s="32" t="s">
        <v>81</v>
      </c>
      <c r="D494" s="32" t="s">
        <v>81</v>
      </c>
      <c r="E494" s="32" t="s">
        <v>81</v>
      </c>
      <c r="F494" s="32" t="s">
        <v>81</v>
      </c>
      <c r="G494" s="32" t="s">
        <v>81</v>
      </c>
      <c r="H494" s="9"/>
    </row>
    <row r="495" spans="1:8" ht="14.25" x14ac:dyDescent="0.15">
      <c r="B495" s="34" t="s">
        <v>82</v>
      </c>
      <c r="C495" s="34" t="s">
        <v>82</v>
      </c>
      <c r="D495" s="34" t="s">
        <v>82</v>
      </c>
      <c r="E495" s="34" t="s">
        <v>82</v>
      </c>
      <c r="F495" s="34" t="s">
        <v>82</v>
      </c>
      <c r="G495" s="34" t="s">
        <v>82</v>
      </c>
      <c r="H495" s="9"/>
    </row>
    <row r="496" spans="1:8" ht="14.25" x14ac:dyDescent="0.15">
      <c r="B496" s="34" t="s">
        <v>84</v>
      </c>
      <c r="C496" s="34" t="s">
        <v>84</v>
      </c>
      <c r="D496" s="34" t="s">
        <v>84</v>
      </c>
      <c r="E496" s="34" t="s">
        <v>84</v>
      </c>
      <c r="F496" s="34" t="s">
        <v>84</v>
      </c>
      <c r="G496" s="34" t="s">
        <v>84</v>
      </c>
      <c r="H496" s="9"/>
    </row>
    <row r="497" spans="1:8" ht="14.25" x14ac:dyDescent="0.15">
      <c r="B497" s="34" t="s">
        <v>144</v>
      </c>
      <c r="C497" s="34" t="s">
        <v>144</v>
      </c>
      <c r="D497" s="34" t="s">
        <v>145</v>
      </c>
      <c r="E497" s="34" t="s">
        <v>145</v>
      </c>
      <c r="F497" s="34" t="s">
        <v>121</v>
      </c>
      <c r="G497" s="34" t="s">
        <v>121</v>
      </c>
      <c r="H497" s="9"/>
    </row>
    <row r="498" spans="1:8" ht="7.15" customHeight="1" x14ac:dyDescent="0.15">
      <c r="B498" s="18"/>
      <c r="C498" s="18"/>
      <c r="D498" s="19"/>
      <c r="E498" s="18"/>
      <c r="F498" s="18"/>
      <c r="G498" s="18"/>
    </row>
    <row r="499" spans="1:8" ht="14.25" x14ac:dyDescent="0.15">
      <c r="B499" s="52" t="s">
        <v>51</v>
      </c>
      <c r="C499" s="52" t="s">
        <v>52</v>
      </c>
      <c r="D499" s="52" t="s">
        <v>53</v>
      </c>
      <c r="E499" s="52" t="s">
        <v>54</v>
      </c>
      <c r="F499" s="52" t="s">
        <v>55</v>
      </c>
      <c r="G499" s="53" t="s">
        <v>56</v>
      </c>
      <c r="H499" s="9"/>
    </row>
    <row r="500" spans="1:8" ht="14.25" x14ac:dyDescent="0.15">
      <c r="B500" s="32" t="s">
        <v>81</v>
      </c>
      <c r="C500" s="32" t="s">
        <v>81</v>
      </c>
      <c r="D500" s="32" t="s">
        <v>81</v>
      </c>
      <c r="E500" s="32" t="s">
        <v>81</v>
      </c>
      <c r="F500" s="32" t="s">
        <v>81</v>
      </c>
      <c r="G500" s="32" t="s">
        <v>81</v>
      </c>
      <c r="H500" s="9"/>
    </row>
    <row r="501" spans="1:8" ht="14.25" x14ac:dyDescent="0.15">
      <c r="B501" s="34" t="s">
        <v>82</v>
      </c>
      <c r="C501" s="34" t="s">
        <v>82</v>
      </c>
      <c r="D501" s="34" t="s">
        <v>82</v>
      </c>
      <c r="E501" s="34" t="s">
        <v>82</v>
      </c>
      <c r="F501" s="34" t="s">
        <v>82</v>
      </c>
      <c r="G501" s="34" t="s">
        <v>82</v>
      </c>
      <c r="H501" s="9"/>
    </row>
    <row r="502" spans="1:8" ht="14.25" x14ac:dyDescent="0.15">
      <c r="B502" s="34" t="s">
        <v>83</v>
      </c>
      <c r="C502" s="34" t="s">
        <v>83</v>
      </c>
      <c r="D502" s="34" t="s">
        <v>83</v>
      </c>
      <c r="E502" s="34" t="s">
        <v>83</v>
      </c>
      <c r="F502" s="34" t="s">
        <v>83</v>
      </c>
      <c r="G502" s="34" t="s">
        <v>83</v>
      </c>
      <c r="H502" s="9"/>
    </row>
    <row r="503" spans="1:8" ht="14.25" x14ac:dyDescent="0.15">
      <c r="B503" s="34" t="s">
        <v>122</v>
      </c>
      <c r="C503" s="34" t="s">
        <v>122</v>
      </c>
      <c r="D503" s="34" t="s">
        <v>123</v>
      </c>
      <c r="E503" s="34" t="s">
        <v>123</v>
      </c>
      <c r="F503" s="35" t="s">
        <v>124</v>
      </c>
      <c r="G503" s="35" t="s">
        <v>124</v>
      </c>
      <c r="H503" s="9"/>
    </row>
    <row r="504" spans="1:8" ht="12.75" x14ac:dyDescent="0.15">
      <c r="B504" s="18"/>
      <c r="C504" s="18"/>
      <c r="D504" s="19"/>
      <c r="E504" s="18"/>
      <c r="F504" s="18"/>
      <c r="G504" s="18"/>
    </row>
    <row r="505" spans="1:8" ht="14.25" x14ac:dyDescent="0.15">
      <c r="B505" s="39" t="s">
        <v>68</v>
      </c>
      <c r="C505" s="54" t="s">
        <v>90</v>
      </c>
      <c r="D505" s="54" t="s">
        <v>70</v>
      </c>
      <c r="E505" s="54" t="s">
        <v>158</v>
      </c>
      <c r="F505" s="54" t="s">
        <v>126</v>
      </c>
      <c r="G505" s="54" t="s">
        <v>127</v>
      </c>
      <c r="H505" s="9"/>
    </row>
    <row r="506" spans="1:8" ht="14.25" x14ac:dyDescent="0.15">
      <c r="B506" s="41" t="s">
        <v>71</v>
      </c>
      <c r="C506" s="41" t="s">
        <v>159</v>
      </c>
      <c r="D506" s="41" t="s">
        <v>160</v>
      </c>
      <c r="E506" s="41" t="s">
        <v>128</v>
      </c>
      <c r="F506" s="41" t="s">
        <v>128</v>
      </c>
      <c r="G506" s="41" t="s">
        <v>128</v>
      </c>
      <c r="H506" s="9"/>
    </row>
    <row r="507" spans="1:8" ht="14.25" x14ac:dyDescent="0.15">
      <c r="B507" s="42" t="s">
        <v>74</v>
      </c>
      <c r="C507" s="42" t="s">
        <v>161</v>
      </c>
      <c r="D507" s="42" t="s">
        <v>162</v>
      </c>
      <c r="E507" s="42" t="s">
        <v>130</v>
      </c>
      <c r="F507" s="42" t="s">
        <v>130</v>
      </c>
      <c r="G507" s="42" t="s">
        <v>130</v>
      </c>
      <c r="H507" s="9"/>
    </row>
    <row r="508" spans="1:8" ht="14.25" x14ac:dyDescent="0.15">
      <c r="B508" s="42" t="s">
        <v>77</v>
      </c>
      <c r="C508" s="42" t="s">
        <v>163</v>
      </c>
      <c r="D508" s="42" t="s">
        <v>161</v>
      </c>
      <c r="E508" s="42" t="s">
        <v>132</v>
      </c>
      <c r="F508" s="42" t="s">
        <v>132</v>
      </c>
      <c r="G508" s="42" t="s">
        <v>132</v>
      </c>
      <c r="H508" s="9"/>
    </row>
    <row r="509" spans="1:8" ht="12.75" x14ac:dyDescent="0.15">
      <c r="B509" s="18"/>
      <c r="C509" s="18"/>
      <c r="D509" s="19"/>
      <c r="E509" s="18"/>
      <c r="F509" s="18"/>
      <c r="G509" s="18"/>
    </row>
    <row r="510" spans="1:8" ht="17.45" customHeight="1" x14ac:dyDescent="0.2">
      <c r="A510" s="55"/>
      <c r="B510" s="55" t="s">
        <v>164</v>
      </c>
      <c r="D510" s="25"/>
    </row>
    <row r="511" spans="1:8" ht="14.25" x14ac:dyDescent="0.15">
      <c r="B511" s="56" t="s">
        <v>42</v>
      </c>
      <c r="C511" s="56" t="s">
        <v>43</v>
      </c>
      <c r="D511" s="56" t="s">
        <v>44</v>
      </c>
      <c r="E511" s="56" t="s">
        <v>45</v>
      </c>
      <c r="F511" s="56" t="s">
        <v>46</v>
      </c>
      <c r="G511" s="57" t="s">
        <v>47</v>
      </c>
      <c r="H511" s="9"/>
    </row>
    <row r="512" spans="1:8" ht="14.25" x14ac:dyDescent="0.15">
      <c r="B512" s="32" t="s">
        <v>81</v>
      </c>
      <c r="C512" s="32" t="s">
        <v>81</v>
      </c>
      <c r="D512" s="32" t="s">
        <v>82</v>
      </c>
      <c r="E512" s="32" t="s">
        <v>82</v>
      </c>
      <c r="F512" s="32" t="s">
        <v>82</v>
      </c>
      <c r="G512" s="32" t="s">
        <v>82</v>
      </c>
      <c r="H512" s="9"/>
    </row>
    <row r="513" spans="1:8" ht="14.25" x14ac:dyDescent="0.15">
      <c r="B513" s="34" t="s">
        <v>82</v>
      </c>
      <c r="C513" s="34" t="s">
        <v>82</v>
      </c>
      <c r="D513" s="34" t="s">
        <v>82</v>
      </c>
      <c r="E513" s="34" t="s">
        <v>83</v>
      </c>
      <c r="F513" s="34" t="s">
        <v>83</v>
      </c>
      <c r="G513" s="34" t="s">
        <v>83</v>
      </c>
      <c r="H513" s="9"/>
    </row>
    <row r="514" spans="1:8" ht="14.25" x14ac:dyDescent="0.15">
      <c r="B514" s="34" t="s">
        <v>84</v>
      </c>
      <c r="C514" s="34" t="s">
        <v>83</v>
      </c>
      <c r="D514" s="34" t="s">
        <v>83</v>
      </c>
      <c r="E514" s="34" t="s">
        <v>144</v>
      </c>
      <c r="F514" s="34" t="s">
        <v>145</v>
      </c>
      <c r="G514" s="34" t="s">
        <v>145</v>
      </c>
      <c r="H514" s="9"/>
    </row>
    <row r="515" spans="1:8" ht="14.25" x14ac:dyDescent="0.15">
      <c r="B515" s="34" t="s">
        <v>121</v>
      </c>
      <c r="C515" s="34" t="s">
        <v>122</v>
      </c>
      <c r="D515" s="34" t="s">
        <v>122</v>
      </c>
      <c r="E515" s="34" t="s">
        <v>123</v>
      </c>
      <c r="F515" s="35" t="s">
        <v>124</v>
      </c>
      <c r="G515" s="35" t="s">
        <v>124</v>
      </c>
      <c r="H515" s="9"/>
    </row>
    <row r="516" spans="1:8" ht="12.75" x14ac:dyDescent="0.15">
      <c r="B516" s="58"/>
      <c r="C516" s="64"/>
      <c r="D516" s="58"/>
      <c r="E516" s="64"/>
      <c r="F516" s="64"/>
      <c r="G516" s="65"/>
    </row>
    <row r="517" spans="1:8" ht="12.75" x14ac:dyDescent="0.15">
      <c r="B517" s="68"/>
      <c r="C517" s="69"/>
      <c r="D517" s="68"/>
      <c r="E517" s="69"/>
      <c r="F517" s="69"/>
      <c r="G517" s="70"/>
    </row>
    <row r="518" spans="1:8" ht="17.45" customHeight="1" x14ac:dyDescent="0.2">
      <c r="A518" s="55"/>
      <c r="B518" s="55" t="s">
        <v>165</v>
      </c>
      <c r="D518" s="25"/>
    </row>
    <row r="519" spans="1:8" ht="14.25" x14ac:dyDescent="0.15">
      <c r="B519" s="56" t="s">
        <v>42</v>
      </c>
      <c r="C519" s="56" t="s">
        <v>43</v>
      </c>
      <c r="D519" s="56" t="s">
        <v>44</v>
      </c>
      <c r="E519" s="56" t="s">
        <v>45</v>
      </c>
      <c r="F519" s="9"/>
    </row>
    <row r="520" spans="1:8" ht="14.25" x14ac:dyDescent="0.15">
      <c r="B520" s="32" t="s">
        <v>81</v>
      </c>
      <c r="C520" s="32" t="s">
        <v>82</v>
      </c>
      <c r="D520" s="32" t="s">
        <v>82</v>
      </c>
      <c r="E520" s="32" t="s">
        <v>82</v>
      </c>
      <c r="F520" s="9"/>
    </row>
    <row r="521" spans="1:8" ht="14.25" x14ac:dyDescent="0.15">
      <c r="B521" s="34" t="s">
        <v>82</v>
      </c>
      <c r="C521" s="34" t="s">
        <v>82</v>
      </c>
      <c r="D521" s="34" t="s">
        <v>83</v>
      </c>
      <c r="E521" s="34" t="s">
        <v>83</v>
      </c>
      <c r="F521" s="9"/>
    </row>
    <row r="522" spans="1:8" ht="14.25" x14ac:dyDescent="0.15">
      <c r="B522" s="34" t="s">
        <v>84</v>
      </c>
      <c r="C522" s="34" t="s">
        <v>83</v>
      </c>
      <c r="D522" s="34" t="s">
        <v>145</v>
      </c>
      <c r="E522" s="34" t="s">
        <v>145</v>
      </c>
      <c r="F522" s="9"/>
    </row>
    <row r="523" spans="1:8" ht="14.25" x14ac:dyDescent="0.15">
      <c r="B523" s="34" t="s">
        <v>122</v>
      </c>
      <c r="C523" s="34" t="s">
        <v>122</v>
      </c>
      <c r="D523" s="35" t="s">
        <v>124</v>
      </c>
      <c r="E523" s="35" t="s">
        <v>124</v>
      </c>
      <c r="F523" s="9"/>
    </row>
    <row r="524" spans="1:8" ht="12.75" x14ac:dyDescent="0.15">
      <c r="B524" s="64"/>
      <c r="C524" s="64"/>
      <c r="D524" s="58"/>
      <c r="E524" s="64"/>
    </row>
    <row r="525" spans="1:8" ht="12.75" x14ac:dyDescent="0.15">
      <c r="D525" s="25"/>
    </row>
    <row r="526" spans="1:8" ht="17.45" customHeight="1" x14ac:dyDescent="0.2">
      <c r="A526" s="55"/>
      <c r="B526" s="55" t="s">
        <v>166</v>
      </c>
      <c r="D526" s="25"/>
    </row>
    <row r="527" spans="1:8" ht="14.25" x14ac:dyDescent="0.15">
      <c r="B527" s="56" t="s">
        <v>42</v>
      </c>
      <c r="C527" s="56" t="s">
        <v>43</v>
      </c>
      <c r="D527" s="56" t="s">
        <v>44</v>
      </c>
      <c r="E527" s="56" t="s">
        <v>45</v>
      </c>
      <c r="F527" s="56" t="s">
        <v>46</v>
      </c>
      <c r="G527" s="57" t="s">
        <v>47</v>
      </c>
      <c r="H527" s="9"/>
    </row>
    <row r="528" spans="1:8" ht="14.25" x14ac:dyDescent="0.15">
      <c r="B528" s="32" t="s">
        <v>81</v>
      </c>
      <c r="C528" s="32" t="s">
        <v>81</v>
      </c>
      <c r="D528" s="32" t="s">
        <v>81</v>
      </c>
      <c r="E528" s="32" t="s">
        <v>82</v>
      </c>
      <c r="F528" s="32" t="s">
        <v>82</v>
      </c>
      <c r="G528" s="32" t="s">
        <v>82</v>
      </c>
      <c r="H528" s="9"/>
    </row>
    <row r="529" spans="2:8" ht="14.25" x14ac:dyDescent="0.15">
      <c r="B529" s="34" t="s">
        <v>82</v>
      </c>
      <c r="C529" s="34" t="s">
        <v>82</v>
      </c>
      <c r="D529" s="34" t="s">
        <v>82</v>
      </c>
      <c r="E529" s="34" t="s">
        <v>82</v>
      </c>
      <c r="F529" s="34" t="s">
        <v>83</v>
      </c>
      <c r="G529" s="34" t="s">
        <v>83</v>
      </c>
      <c r="H529" s="9"/>
    </row>
    <row r="530" spans="2:8" ht="14.25" x14ac:dyDescent="0.15">
      <c r="B530" s="34" t="s">
        <v>84</v>
      </c>
      <c r="C530" s="34" t="s">
        <v>84</v>
      </c>
      <c r="D530" s="34" t="s">
        <v>83</v>
      </c>
      <c r="E530" s="34" t="s">
        <v>83</v>
      </c>
      <c r="F530" s="34" t="s">
        <v>144</v>
      </c>
      <c r="G530" s="34" t="s">
        <v>145</v>
      </c>
      <c r="H530" s="9"/>
    </row>
    <row r="531" spans="2:8" ht="14.25" x14ac:dyDescent="0.15">
      <c r="B531" s="34" t="s">
        <v>121</v>
      </c>
      <c r="C531" s="34" t="s">
        <v>122</v>
      </c>
      <c r="D531" s="34" t="s">
        <v>122</v>
      </c>
      <c r="E531" s="34" t="s">
        <v>122</v>
      </c>
      <c r="F531" s="34" t="s">
        <v>123</v>
      </c>
      <c r="G531" s="35" t="s">
        <v>124</v>
      </c>
      <c r="H531" s="9"/>
    </row>
    <row r="532" spans="2:8" ht="12.75" x14ac:dyDescent="0.15">
      <c r="B532" s="18"/>
      <c r="C532" s="18"/>
      <c r="D532" s="19"/>
      <c r="E532" s="18"/>
      <c r="F532" s="18"/>
      <c r="G532" s="18"/>
    </row>
    <row r="533" spans="2:8" ht="14.25" x14ac:dyDescent="0.15">
      <c r="B533" s="56" t="s">
        <v>51</v>
      </c>
      <c r="C533" s="56" t="s">
        <v>52</v>
      </c>
      <c r="D533" s="38"/>
    </row>
    <row r="534" spans="2:8" ht="14.25" x14ac:dyDescent="0.15">
      <c r="B534" s="32" t="s">
        <v>82</v>
      </c>
      <c r="C534" s="32" t="s">
        <v>82</v>
      </c>
      <c r="D534" s="38"/>
    </row>
    <row r="535" spans="2:8" ht="14.25" x14ac:dyDescent="0.15">
      <c r="B535" s="34" t="s">
        <v>83</v>
      </c>
      <c r="C535" s="34" t="s">
        <v>83</v>
      </c>
      <c r="D535" s="38"/>
    </row>
    <row r="536" spans="2:8" ht="14.25" x14ac:dyDescent="0.15">
      <c r="B536" s="34" t="s">
        <v>145</v>
      </c>
      <c r="C536" s="34" t="s">
        <v>145</v>
      </c>
      <c r="D536" s="38"/>
    </row>
    <row r="537" spans="2:8" ht="14.25" x14ac:dyDescent="0.15">
      <c r="B537" s="35" t="s">
        <v>124</v>
      </c>
      <c r="C537" s="35" t="s">
        <v>124</v>
      </c>
      <c r="D537" s="38"/>
    </row>
    <row r="538" spans="2:8" ht="12.75" x14ac:dyDescent="0.15">
      <c r="B538" s="18"/>
      <c r="C538" s="18"/>
      <c r="D538" s="25"/>
    </row>
    <row r="539" spans="2:8" ht="12.75" x14ac:dyDescent="0.15">
      <c r="D539" s="25"/>
    </row>
    <row r="540" spans="2:8" ht="14.25" x14ac:dyDescent="0.15">
      <c r="B540" s="39" t="s">
        <v>68</v>
      </c>
      <c r="C540" s="59" t="s">
        <v>90</v>
      </c>
      <c r="D540" s="59" t="s">
        <v>70</v>
      </c>
      <c r="E540" s="59" t="s">
        <v>158</v>
      </c>
      <c r="F540" s="59" t="s">
        <v>126</v>
      </c>
      <c r="G540" s="59" t="s">
        <v>127</v>
      </c>
      <c r="H540" s="9"/>
    </row>
    <row r="541" spans="2:8" ht="14.25" x14ac:dyDescent="0.15">
      <c r="B541" s="41" t="s">
        <v>71</v>
      </c>
      <c r="C541" s="41" t="s">
        <v>140</v>
      </c>
      <c r="D541" s="41" t="s">
        <v>114</v>
      </c>
      <c r="E541" s="41" t="s">
        <v>136</v>
      </c>
      <c r="F541" s="41" t="s">
        <v>136</v>
      </c>
      <c r="G541" s="41" t="s">
        <v>136</v>
      </c>
      <c r="H541" s="9"/>
    </row>
    <row r="542" spans="2:8" ht="14.25" x14ac:dyDescent="0.15">
      <c r="B542" s="42" t="s">
        <v>74</v>
      </c>
      <c r="C542" s="42" t="s">
        <v>114</v>
      </c>
      <c r="D542" s="42" t="s">
        <v>116</v>
      </c>
      <c r="E542" s="42" t="s">
        <v>141</v>
      </c>
      <c r="F542" s="42" t="s">
        <v>141</v>
      </c>
      <c r="G542" s="42" t="s">
        <v>141</v>
      </c>
      <c r="H542" s="9"/>
    </row>
    <row r="543" spans="2:8" ht="14.25" x14ac:dyDescent="0.15">
      <c r="B543" s="42" t="s">
        <v>77</v>
      </c>
      <c r="C543" s="42" t="s">
        <v>142</v>
      </c>
      <c r="D543" s="42" t="s">
        <v>115</v>
      </c>
      <c r="E543" s="42" t="s">
        <v>116</v>
      </c>
      <c r="F543" s="42" t="s">
        <v>116</v>
      </c>
      <c r="G543" s="42" t="s">
        <v>116</v>
      </c>
      <c r="H543" s="9"/>
    </row>
    <row r="544" spans="2:8" ht="12.75" x14ac:dyDescent="0.15">
      <c r="B544" s="18"/>
      <c r="C544" s="18"/>
      <c r="D544" s="19"/>
      <c r="E544" s="18"/>
      <c r="F544" s="18"/>
      <c r="G544" s="18"/>
    </row>
  </sheetData>
  <mergeCells count="10">
    <mergeCell ref="B16:B19"/>
    <mergeCell ref="B20:G20"/>
    <mergeCell ref="B21:B23"/>
    <mergeCell ref="B26:G26"/>
    <mergeCell ref="B27:G27"/>
    <mergeCell ref="D8:G8"/>
    <mergeCell ref="B9:C9"/>
    <mergeCell ref="B10:C10"/>
    <mergeCell ref="B11:B14"/>
    <mergeCell ref="B15:G15"/>
  </mergeCells>
  <phoneticPr fontId="39"/>
  <pageMargins left="0.70866099999999999" right="0.70866099999999999" top="0.59055100000000005" bottom="0.59055100000000005" header="0.59055100000000005" footer="0.472441"/>
  <pageSetup paperSize="9" pageOrder="overThenDown" orientation="landscape"/>
  <headerFooter>
    <oddHeader>&amp;L岩倉市日本語・ポルトガル語適応指導教室&amp;C&amp;R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B38" sqref="B3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295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296</v>
      </c>
      <c r="U2" s="88">
        <f>COUNTIF(C21:O34,"=1")</f>
        <v>3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11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297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15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たから島のぼうけん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たから島のぼうけん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たから島のぼうけん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漢字の広場⑤</v>
      </c>
      <c r="M4" s="87" t="str">
        <f t="shared" ref="M4:N7" si="3">LOOKUP(M21,$X$2:$Y$43,$Y$2:$Y$43)</f>
        <v>現</v>
      </c>
      <c r="N4" s="98" t="str">
        <f t="shared" si="3"/>
        <v>理　科</v>
      </c>
      <c r="O4" s="87" t="str">
        <f>LOOKUP(O21,$S$2:$T$69,$T$2:$T$69)</f>
        <v>ものの重さをしらべよう</v>
      </c>
      <c r="P4" s="87" t="str">
        <f>LOOKUP(P21,$X$2:$Y$43,$Y$2:$Y$43)</f>
        <v>現</v>
      </c>
      <c r="Q4" s="9"/>
      <c r="R4" s="195"/>
      <c r="S4" s="94">
        <v>3</v>
      </c>
      <c r="T4" s="95" t="s">
        <v>298</v>
      </c>
      <c r="U4" s="93">
        <f>COUNTIF(C21:O34,"=3")</f>
        <v>3</v>
      </c>
      <c r="V4" s="195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分数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はたらく人とわたしたちのくらし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分数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95"/>
      <c r="S5" s="94">
        <v>4</v>
      </c>
      <c r="T5" s="95" t="s">
        <v>299</v>
      </c>
      <c r="U5" s="93">
        <f>COUNTIF(C21:O34,"=4")</f>
        <v>3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国　語</v>
      </c>
      <c r="F6" s="101" t="str">
        <f>LOOKUP(F23,$S$2:$T$69,$T$2:$T$69)</f>
        <v>かんさつ名人になろう（小2）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国　語</v>
      </c>
      <c r="L6" s="101" t="str">
        <f>LOOKUP(L23,$S$2:$T$69,$T$2:$T$69)</f>
        <v>漢字の広場⑤（小2）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ものの名前（小1）</v>
      </c>
      <c r="P6" s="101" t="str">
        <f>LOOKUP(P23,$X$2:$Y$43,$Y$2:$Y$43)</f>
        <v>ス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分数（小2）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分数（小2）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分数（小2）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かくれた数はいくつ（小2）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学校生活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漢字の広場⑤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言葉を分類する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言葉を分類する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冬の楽しみ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冬の楽しみ</v>
      </c>
      <c r="P9" s="87" t="str">
        <f>LOOKUP(P26,$X$2:$Y$43,$Y$2:$Y$43)</f>
        <v>現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言葉を分類する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べつべつに、いっしょに</v>
      </c>
      <c r="J10" s="101" t="str">
        <f t="shared" si="6"/>
        <v>現</v>
      </c>
      <c r="K10" s="100" t="str">
        <f t="shared" si="6"/>
        <v>算　数</v>
      </c>
      <c r="L10" s="101" t="str">
        <f>LOOKUP(L27,$S$2:$T$69,$T$2:$T$69)</f>
        <v>べつべつに、いっしょに</v>
      </c>
      <c r="M10" s="101" t="str">
        <f t="shared" si="7"/>
        <v>現</v>
      </c>
      <c r="N10" s="100" t="str">
        <f t="shared" si="7"/>
        <v>理　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国　語</v>
      </c>
      <c r="L11" s="101" t="str">
        <f>LOOKUP(L28,$S$2:$T$69,$T$2:$T$69)</f>
        <v>冬がいっぱい（小2）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語彙</v>
      </c>
      <c r="P11" s="101" t="str">
        <f>LOOKUP(P28,$X$2:$Y$43,$Y$2:$Y$43)</f>
        <v>ス</v>
      </c>
      <c r="Q11" s="9"/>
      <c r="R11" s="195"/>
      <c r="S11" s="86">
        <v>10</v>
      </c>
      <c r="T11" s="91" t="s">
        <v>300</v>
      </c>
      <c r="U11" s="88">
        <f>COUNTIF(C21:O34,"=10")</f>
        <v>1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かくれた数はいくつ（小2）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計算のじゅんじょ（小2）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計算のじゅんじょ（小2）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95"/>
      <c r="S12" s="94">
        <v>11</v>
      </c>
      <c r="T12" s="95" t="s">
        <v>301</v>
      </c>
      <c r="U12" s="93">
        <f>COUNTIF(C21:O34,"=11")</f>
        <v>1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 t="s">
        <v>302</v>
      </c>
      <c r="U13" s="93">
        <f>COUNTIF(C21:O34,"=12")</f>
        <v>1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冬の楽しみ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計算のきまり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 t="s">
        <v>303</v>
      </c>
      <c r="U14" s="93">
        <f>COUNTIF(C21:O34,"=13")</f>
        <v>1</v>
      </c>
      <c r="V14" s="19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日本語</v>
      </c>
      <c r="F15" s="101" t="str">
        <f>LOOKUP(F32,$S$2:$T$69,$T$2:$T$69)</f>
        <v>家庭生活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学校生活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語彙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4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15</v>
      </c>
      <c r="V18" s="195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304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305</v>
      </c>
      <c r="U20" s="93">
        <f>COUNTIF(C21:O34,"=23")</f>
        <v>2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195"/>
      <c r="S21" s="94">
        <v>24</v>
      </c>
      <c r="T21" s="95" t="s">
        <v>306</v>
      </c>
      <c r="U21" s="93">
        <f>COUNTIF(C21:O34,"=24")</f>
        <v>1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211</v>
      </c>
      <c r="F23" s="117">
        <v>10</v>
      </c>
      <c r="G23" s="119">
        <v>51</v>
      </c>
      <c r="H23" s="116" t="s">
        <v>223</v>
      </c>
      <c r="I23" s="117">
        <v>39</v>
      </c>
      <c r="J23" s="119">
        <v>51</v>
      </c>
      <c r="K23" s="116" t="s">
        <v>211</v>
      </c>
      <c r="L23" s="117">
        <v>11</v>
      </c>
      <c r="M23" s="119">
        <v>51</v>
      </c>
      <c r="N23" s="116" t="s">
        <v>211</v>
      </c>
      <c r="O23" s="117">
        <v>12</v>
      </c>
      <c r="P23" s="119">
        <v>51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59</v>
      </c>
      <c r="P24" s="119">
        <v>51</v>
      </c>
      <c r="Q24" s="9"/>
      <c r="R24" s="195"/>
      <c r="S24" s="86">
        <v>27</v>
      </c>
      <c r="T24" s="91" t="s">
        <v>307</v>
      </c>
      <c r="U24" s="88">
        <f>COUNTIF(C21:O34,"=27")</f>
        <v>3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308</v>
      </c>
      <c r="U25" s="93">
        <f>COUNTIF(C21:O34,"=28")</f>
        <v>2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4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195"/>
      <c r="S26" s="94">
        <v>29</v>
      </c>
      <c r="T26" s="95" t="s">
        <v>309</v>
      </c>
      <c r="U26" s="93">
        <f>COUNTIF(C21:O34,"=29")</f>
        <v>2</v>
      </c>
      <c r="V26" s="19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214</v>
      </c>
      <c r="L27" s="117">
        <v>23</v>
      </c>
      <c r="M27" s="118">
        <v>50</v>
      </c>
      <c r="N27" s="116" t="s">
        <v>220</v>
      </c>
      <c r="O27" s="117">
        <v>44</v>
      </c>
      <c r="P27" s="118">
        <v>50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223</v>
      </c>
      <c r="F28" s="117">
        <v>39</v>
      </c>
      <c r="G28" s="119">
        <v>51</v>
      </c>
      <c r="H28" s="116" t="s">
        <v>209</v>
      </c>
      <c r="I28" s="117">
        <v>59</v>
      </c>
      <c r="J28" s="119">
        <v>51</v>
      </c>
      <c r="K28" s="116" t="s">
        <v>211</v>
      </c>
      <c r="L28" s="117">
        <v>13</v>
      </c>
      <c r="M28" s="119">
        <v>51</v>
      </c>
      <c r="N28" s="116" t="s">
        <v>209</v>
      </c>
      <c r="O28" s="117">
        <v>57</v>
      </c>
      <c r="P28" s="119">
        <v>51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214</v>
      </c>
      <c r="F31" s="114">
        <v>24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7</v>
      </c>
      <c r="V31" s="19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209</v>
      </c>
      <c r="F32" s="117">
        <v>58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12</v>
      </c>
      <c r="V32" s="19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59</v>
      </c>
      <c r="D33" s="119">
        <v>51</v>
      </c>
      <c r="E33" s="116" t="s">
        <v>209</v>
      </c>
      <c r="F33" s="117">
        <v>57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310</v>
      </c>
      <c r="U33" s="88">
        <f>COUNTIF(C21:O34,"=35")</f>
        <v>1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2</v>
      </c>
      <c r="V37" s="19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03" t="s">
        <v>90</v>
      </c>
      <c r="D39" s="202"/>
      <c r="E39" s="202"/>
      <c r="F39" s="203" t="s">
        <v>70</v>
      </c>
      <c r="G39" s="202"/>
      <c r="H39" s="202"/>
      <c r="I39" s="203" t="s">
        <v>125</v>
      </c>
      <c r="J39" s="204"/>
      <c r="K39" s="204"/>
      <c r="L39" s="203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312</v>
      </c>
      <c r="U39" s="88">
        <f>COUNTIF(C21:O34,"=40")</f>
        <v>1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188</v>
      </c>
      <c r="D40" s="207"/>
      <c r="E40" s="207"/>
      <c r="F40" s="206" t="s">
        <v>93</v>
      </c>
      <c r="G40" s="207"/>
      <c r="H40" s="207"/>
      <c r="I40" s="206" t="s">
        <v>128</v>
      </c>
      <c r="J40" s="208"/>
      <c r="K40" s="208"/>
      <c r="L40" s="206" t="s">
        <v>175</v>
      </c>
      <c r="M40" s="207"/>
      <c r="N40" s="207"/>
      <c r="O40" s="134" t="s">
        <v>259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96</v>
      </c>
      <c r="D41" s="207"/>
      <c r="E41" s="207"/>
      <c r="F41" s="206" t="s">
        <v>97</v>
      </c>
      <c r="G41" s="207"/>
      <c r="H41" s="207"/>
      <c r="I41" s="206" t="s">
        <v>130</v>
      </c>
      <c r="J41" s="208"/>
      <c r="K41" s="208"/>
      <c r="L41" s="206" t="s">
        <v>132</v>
      </c>
      <c r="M41" s="207"/>
      <c r="N41" s="207"/>
      <c r="O41" s="134" t="s">
        <v>313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100</v>
      </c>
      <c r="D42" s="207"/>
      <c r="E42" s="207"/>
      <c r="F42" s="206" t="s">
        <v>101</v>
      </c>
      <c r="G42" s="207"/>
      <c r="H42" s="207"/>
      <c r="I42" s="206" t="s">
        <v>132</v>
      </c>
      <c r="J42" s="208"/>
      <c r="K42" s="208"/>
      <c r="L42" s="206" t="s">
        <v>314</v>
      </c>
      <c r="M42" s="207"/>
      <c r="N42" s="207"/>
      <c r="O42" s="134" t="s">
        <v>315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2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4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4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3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3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3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11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B38" sqref="B3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316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296</v>
      </c>
      <c r="U2" s="88">
        <f>COUNTIF(C21:O34,"=1")</f>
        <v>3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4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297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たから島のぼうけん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たから島のぼうけん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漢字の広場⑤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漢字の広場⑤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言葉を分類する</v>
      </c>
      <c r="P4" s="87" t="str">
        <f>LOOKUP(P21,$X$2:$Y$43,$Y$2:$Y$43)</f>
        <v>現</v>
      </c>
      <c r="Q4" s="9"/>
      <c r="R4" s="195"/>
      <c r="S4" s="94">
        <v>3</v>
      </c>
      <c r="T4" s="95" t="s">
        <v>298</v>
      </c>
      <c r="U4" s="93">
        <f>COUNTIF(C21:O34,"=3")</f>
        <v>3</v>
      </c>
      <c r="V4" s="195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分数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たから島のぼうけん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べつべつに、いっしょに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計算のきまり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計算のきまり</v>
      </c>
      <c r="P5" s="101" t="str">
        <f>LOOKUP(P22,$X$2:$Y$43,$Y$2:$Y$43)</f>
        <v>現</v>
      </c>
      <c r="Q5" s="9"/>
      <c r="R5" s="195"/>
      <c r="S5" s="94">
        <v>4</v>
      </c>
      <c r="T5" s="95" t="s">
        <v>299</v>
      </c>
      <c r="U5" s="93">
        <f>COUNTIF(C21:O34,"=4")</f>
        <v>3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かんさつ名人になろう（小2）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分数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ものの重さをしらべよう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はたらく人とわたしたちのくらし</v>
      </c>
      <c r="P6" s="101" t="str">
        <f>LOOKUP(P23,$X$2:$Y$43,$Y$2:$Y$43)</f>
        <v>現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国　語</v>
      </c>
      <c r="F7" s="101" t="str">
        <f>LOOKUP(F24,$S$2:$T$69,$T$2:$T$69)</f>
        <v>かんさつ名人になろう（小2）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分数（小2）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分数（小2）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かくれた数はいくつ（小2）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言葉を分類する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言葉を分類する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冬の楽しみ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冬の楽しみ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冬の楽しみ</v>
      </c>
      <c r="G10" s="101" t="str">
        <f t="shared" si="5"/>
        <v>現</v>
      </c>
      <c r="H10" s="100" t="str">
        <f t="shared" si="5"/>
        <v>社　会</v>
      </c>
      <c r="I10" s="101" t="str">
        <f>LOOKUP(I27,$S$2:$T$69,$T$2:$T$69)</f>
        <v>はたらく人とわたしたちのくらし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ものの重さをしらべよう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漢字の広場⑤（小2）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かくれた数はいくつ（小2）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はたらく人とわたしたちのくらし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300</v>
      </c>
      <c r="U11" s="88">
        <f>COUNTIF(C21:O34,"=10")</f>
        <v>2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301</v>
      </c>
      <c r="U12" s="93">
        <f>COUNTIF(C21:O34,"=11")</f>
        <v>1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 t="s">
        <v>302</v>
      </c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 t="s">
        <v>303</v>
      </c>
      <c r="U14" s="93">
        <f>COUNTIF(C21:O34,"=13")</f>
        <v>0</v>
      </c>
      <c r="V14" s="19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3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14</v>
      </c>
      <c r="V18" s="195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304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305</v>
      </c>
      <c r="U20" s="93">
        <f>COUNTIF(C21:O34,"=23")</f>
        <v>1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95"/>
      <c r="S21" s="94">
        <v>24</v>
      </c>
      <c r="T21" s="95" t="s">
        <v>306</v>
      </c>
      <c r="U21" s="93">
        <f>COUNTIF(C21:O34,"=24")</f>
        <v>2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24</v>
      </c>
      <c r="M22" s="118">
        <v>50</v>
      </c>
      <c r="N22" s="116" t="s">
        <v>214</v>
      </c>
      <c r="O22" s="117">
        <v>24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211</v>
      </c>
      <c r="F24" s="117">
        <v>10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214</v>
      </c>
      <c r="O24" s="117">
        <v>28</v>
      </c>
      <c r="P24" s="119">
        <v>51</v>
      </c>
      <c r="Q24" s="9"/>
      <c r="R24" s="195"/>
      <c r="S24" s="86">
        <v>27</v>
      </c>
      <c r="T24" s="91" t="s">
        <v>307</v>
      </c>
      <c r="U24" s="88">
        <f>COUNTIF(C21:O34,"=27")</f>
        <v>2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308</v>
      </c>
      <c r="U25" s="93">
        <f>COUNTIF(C21:O34,"=28")</f>
        <v>2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309</v>
      </c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16" t="s">
        <v>211</v>
      </c>
      <c r="F27" s="117">
        <v>4</v>
      </c>
      <c r="G27" s="118">
        <v>50</v>
      </c>
      <c r="H27" s="116" t="s">
        <v>223</v>
      </c>
      <c r="I27" s="117">
        <v>35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11</v>
      </c>
      <c r="D28" s="119">
        <v>51</v>
      </c>
      <c r="E28" s="116" t="s">
        <v>214</v>
      </c>
      <c r="F28" s="117">
        <v>28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4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9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310</v>
      </c>
      <c r="U33" s="88">
        <f>COUNTIF(C21:O34,"=35")</f>
        <v>3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0</v>
      </c>
      <c r="V37" s="19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0" t="s">
        <v>90</v>
      </c>
      <c r="D39" s="212"/>
      <c r="E39" s="212"/>
      <c r="F39" s="210" t="s">
        <v>70</v>
      </c>
      <c r="G39" s="212"/>
      <c r="H39" s="212"/>
      <c r="I39" s="210" t="s">
        <v>125</v>
      </c>
      <c r="J39" s="212"/>
      <c r="K39" s="212"/>
      <c r="L39" s="210" t="s">
        <v>311</v>
      </c>
      <c r="M39" s="212"/>
      <c r="N39" s="202"/>
      <c r="O39" s="133" t="s">
        <v>257</v>
      </c>
      <c r="P39" s="9"/>
      <c r="R39" s="194" t="s">
        <v>258</v>
      </c>
      <c r="S39" s="128">
        <v>40</v>
      </c>
      <c r="T39" s="91" t="s">
        <v>312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105</v>
      </c>
      <c r="D40" s="213"/>
      <c r="E40" s="213"/>
      <c r="F40" s="206" t="s">
        <v>106</v>
      </c>
      <c r="G40" s="207"/>
      <c r="H40" s="207"/>
      <c r="I40" s="206" t="s">
        <v>136</v>
      </c>
      <c r="J40" s="208"/>
      <c r="K40" s="208"/>
      <c r="L40" s="206" t="s">
        <v>108</v>
      </c>
      <c r="M40" s="213"/>
      <c r="N40" s="207"/>
      <c r="O40" s="134" t="s">
        <v>317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107</v>
      </c>
      <c r="D41" s="213"/>
      <c r="E41" s="213"/>
      <c r="F41" s="206" t="s">
        <v>108</v>
      </c>
      <c r="G41" s="207"/>
      <c r="H41" s="207"/>
      <c r="I41" s="206" t="s">
        <v>130</v>
      </c>
      <c r="J41" s="208"/>
      <c r="K41" s="208"/>
      <c r="L41" s="206" t="s">
        <v>132</v>
      </c>
      <c r="M41" s="213"/>
      <c r="N41" s="207"/>
      <c r="O41" s="134" t="s">
        <v>278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109</v>
      </c>
      <c r="D42" s="213"/>
      <c r="E42" s="213"/>
      <c r="F42" s="206" t="s">
        <v>107</v>
      </c>
      <c r="G42" s="207"/>
      <c r="H42" s="207"/>
      <c r="I42" s="206" t="s">
        <v>132</v>
      </c>
      <c r="J42" s="208"/>
      <c r="K42" s="208"/>
      <c r="L42" s="206" t="s">
        <v>318</v>
      </c>
      <c r="M42" s="213"/>
      <c r="N42" s="207"/>
      <c r="O42" s="134" t="s">
        <v>319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3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0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4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36" sqref="O36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320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296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297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たから島のぼうけん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たから島のぼうけん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漢字の広場⑤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漢字の広場⑤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言葉を分類する</v>
      </c>
      <c r="P4" s="87" t="str">
        <f>LOOKUP(P21,$X$2:$Y$43,$Y$2:$Y$43)</f>
        <v>現</v>
      </c>
      <c r="Q4" s="9"/>
      <c r="R4" s="195"/>
      <c r="S4" s="94">
        <v>3</v>
      </c>
      <c r="T4" s="95" t="s">
        <v>298</v>
      </c>
      <c r="U4" s="93">
        <f>COUNTIF(C21:O34,"=3")</f>
        <v>2</v>
      </c>
      <c r="V4" s="19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社　会</v>
      </c>
      <c r="C5" s="101" t="str">
        <f>LOOKUP(C22,$S$2:$T$69,$T$2:$T$69)</f>
        <v>はたらく人とわたしたちのくらし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分数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べつべつに、いっしょに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べつべつに、いっしょに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言葉を分類する</v>
      </c>
      <c r="P5" s="101" t="str">
        <f>LOOKUP(P22,$X$2:$Y$43,$Y$2:$Y$43)</f>
        <v>現</v>
      </c>
      <c r="Q5" s="9"/>
      <c r="R5" s="195"/>
      <c r="S5" s="94">
        <v>4</v>
      </c>
      <c r="T5" s="95" t="s">
        <v>299</v>
      </c>
      <c r="U5" s="93">
        <f>COUNTIF(C21:O34,"=4")</f>
        <v>1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分数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ものの重さをしらべよう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ものの重さをしらべよう</v>
      </c>
      <c r="M6" s="101" t="str">
        <f t="shared" si="3"/>
        <v>現</v>
      </c>
      <c r="N6" s="100" t="str">
        <f t="shared" si="3"/>
        <v>算　数</v>
      </c>
      <c r="O6" s="101" t="str">
        <f>LOOKUP(O23,$S$2:$T$69,$T$2:$T$69)</f>
        <v>計算のきまり</v>
      </c>
      <c r="P6" s="101" t="str">
        <f>LOOKUP(P23,$X$2:$Y$43,$Y$2:$Y$43)</f>
        <v>現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分数（小2）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冬の楽しみ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7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はたらく人とわたしたちのくらし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300</v>
      </c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301</v>
      </c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 t="s">
        <v>302</v>
      </c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 t="s">
        <v>303</v>
      </c>
      <c r="U14" s="93">
        <f>COUNTIF(C21:O34,"=13")</f>
        <v>0</v>
      </c>
      <c r="V14" s="19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0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7</v>
      </c>
      <c r="V18" s="195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304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305</v>
      </c>
      <c r="U20" s="93">
        <f>COUNTIF(C21:O34,"=23")</f>
        <v>2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95"/>
      <c r="S21" s="94">
        <v>24</v>
      </c>
      <c r="T21" s="95" t="s">
        <v>306</v>
      </c>
      <c r="U21" s="93">
        <f>COUNTIF(C21:O34,"=24")</f>
        <v>1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223</v>
      </c>
      <c r="C22" s="117">
        <v>35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211</v>
      </c>
      <c r="O22" s="117">
        <v>3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214</v>
      </c>
      <c r="O23" s="117">
        <v>24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234</v>
      </c>
      <c r="O24" s="117">
        <v>47</v>
      </c>
      <c r="P24" s="119">
        <v>51</v>
      </c>
      <c r="Q24" s="9"/>
      <c r="R24" s="195"/>
      <c r="S24" s="86">
        <v>27</v>
      </c>
      <c r="T24" s="91" t="s">
        <v>307</v>
      </c>
      <c r="U24" s="88">
        <f>COUNTIF(C21:O34,"=27")</f>
        <v>1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308</v>
      </c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309</v>
      </c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1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6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310</v>
      </c>
      <c r="U33" s="88">
        <f>COUNTIF(C21:O34,"=35")</f>
        <v>2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1" t="s">
        <v>90</v>
      </c>
      <c r="D39" s="202"/>
      <c r="E39" s="202"/>
      <c r="F39" s="211" t="s">
        <v>70</v>
      </c>
      <c r="G39" s="202"/>
      <c r="H39" s="202"/>
      <c r="I39" s="211" t="s">
        <v>125</v>
      </c>
      <c r="J39" s="204"/>
      <c r="K39" s="204"/>
      <c r="L39" s="211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312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140</v>
      </c>
      <c r="D40" s="207"/>
      <c r="E40" s="207"/>
      <c r="F40" s="206" t="s">
        <v>114</v>
      </c>
      <c r="G40" s="207"/>
      <c r="H40" s="207"/>
      <c r="I40" s="206" t="s">
        <v>136</v>
      </c>
      <c r="J40" s="208"/>
      <c r="K40" s="208"/>
      <c r="L40" s="206" t="s">
        <v>108</v>
      </c>
      <c r="M40" s="207"/>
      <c r="N40" s="207"/>
      <c r="O40" s="134" t="s">
        <v>281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114</v>
      </c>
      <c r="D41" s="207"/>
      <c r="E41" s="207"/>
      <c r="F41" s="206" t="s">
        <v>116</v>
      </c>
      <c r="G41" s="207"/>
      <c r="H41" s="207"/>
      <c r="I41" s="206" t="s">
        <v>141</v>
      </c>
      <c r="J41" s="208"/>
      <c r="K41" s="208"/>
      <c r="L41" s="206" t="s">
        <v>116</v>
      </c>
      <c r="M41" s="207"/>
      <c r="N41" s="207"/>
      <c r="O41" s="134" t="s">
        <v>282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142</v>
      </c>
      <c r="D42" s="207"/>
      <c r="E42" s="207"/>
      <c r="F42" s="206" t="s">
        <v>115</v>
      </c>
      <c r="G42" s="207"/>
      <c r="H42" s="207"/>
      <c r="I42" s="206" t="s">
        <v>116</v>
      </c>
      <c r="J42" s="208"/>
      <c r="K42" s="208"/>
      <c r="L42" s="206" t="s">
        <v>115</v>
      </c>
      <c r="M42" s="207"/>
      <c r="N42" s="207"/>
      <c r="O42" s="134" t="s">
        <v>283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0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2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topLeftCell="A7" colorId="22" workbookViewId="0">
      <selection activeCell="G32" sqref="G3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321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322</v>
      </c>
      <c r="U2" s="88">
        <f>COUNTIF(C21:O34,"=1")</f>
        <v>3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12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323</v>
      </c>
      <c r="U3" s="93">
        <f>COUNTIF(C21:O34,"=2")</f>
        <v>3</v>
      </c>
      <c r="V3" s="195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短歌・俳句に親しもう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短歌・俳句に親しもう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短歌・俳句に親しもう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プラタナスの木</v>
      </c>
      <c r="M4" s="87" t="str">
        <f t="shared" ref="M4:N7" si="3">LOOKUP(M21,$X$2:$Y$43,$Y$2:$Y$43)</f>
        <v>現</v>
      </c>
      <c r="N4" s="98" t="str">
        <f t="shared" si="3"/>
        <v>理　科</v>
      </c>
      <c r="O4" s="87" t="str">
        <f>LOOKUP(O21,$S$2:$T$69,$T$2:$T$69)</f>
        <v>もののあたたまり方</v>
      </c>
      <c r="P4" s="87" t="str">
        <f>LOOKUP(P21,$X$2:$Y$43,$Y$2:$Y$43)</f>
        <v>現</v>
      </c>
      <c r="Q4" s="9"/>
      <c r="R4" s="195"/>
      <c r="S4" s="94">
        <v>3</v>
      </c>
      <c r="T4" s="95" t="s">
        <v>324</v>
      </c>
      <c r="U4" s="93">
        <f>COUNTIF(C21:O34,"=3")</f>
        <v>2</v>
      </c>
      <c r="V4" s="195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小数のかけ算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わたしたちの県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小数のかけ算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学習用具・教科用語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日本の文化</v>
      </c>
      <c r="P5" s="101" t="str">
        <f>LOOKUP(P22,$X$2:$Y$43,$Y$2:$Y$43)</f>
        <v>ス</v>
      </c>
      <c r="Q5" s="9"/>
      <c r="R5" s="195"/>
      <c r="S5" s="94">
        <v>4</v>
      </c>
      <c r="T5" s="95" t="s">
        <v>325</v>
      </c>
      <c r="U5" s="93">
        <f>COUNTIF(C21:O34,"=4")</f>
        <v>3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国　語</v>
      </c>
      <c r="F6" s="101" t="str">
        <f>LOOKUP(F23,$S$2:$T$69,$T$2:$T$69)</f>
        <v>俳句を楽しもう（小3）</v>
      </c>
      <c r="G6" s="101" t="str">
        <f t="shared" si="1"/>
        <v>ス</v>
      </c>
      <c r="H6" s="100" t="str">
        <f t="shared" si="1"/>
        <v>国　語</v>
      </c>
      <c r="I6" s="101" t="str">
        <f>LOOKUP(I23,$S$2:$T$69,$T$2:$T$69)</f>
        <v>短歌を楽しもう（小3）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学校生活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語彙</v>
      </c>
      <c r="P6" s="101" t="str">
        <f>LOOKUP(P23,$X$2:$Y$43,$Y$2:$Y$43)</f>
        <v>ス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小数（小3）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小数（小3）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小数（小3）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小数のわり算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プラタナスの木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漢字の広場④</v>
      </c>
      <c r="J9" s="87" t="str">
        <f t="shared" ref="J9:K12" si="6">LOOKUP(J26,$X$2:$Y$43,$Y$2:$Y$43)</f>
        <v>現</v>
      </c>
      <c r="K9" s="98" t="str">
        <f t="shared" si="6"/>
        <v>算　数</v>
      </c>
      <c r="L9" s="87" t="str">
        <f>LOOKUP(L26,$S$2:$T$69,$T$2:$T$69)</f>
        <v>小数のわり算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文と文をつなぐ言葉</v>
      </c>
      <c r="P9" s="87" t="str">
        <f>LOOKUP(P26,$X$2:$Y$43,$Y$2:$Y$43)</f>
        <v>現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プラタナスの木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小数のわり算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漢字の広場④</v>
      </c>
      <c r="M10" s="101" t="str">
        <f t="shared" si="7"/>
        <v>現</v>
      </c>
      <c r="N10" s="100" t="str">
        <f t="shared" si="7"/>
        <v>理　科</v>
      </c>
      <c r="O10" s="101" t="str">
        <f>LOOKUP(O27,$S$2:$T$69,$T$2:$T$69)</f>
        <v>もののあたたまり方</v>
      </c>
      <c r="P10" s="101" t="str">
        <f>LOOKUP(P27,$X$2:$Y$43,$Y$2:$Y$43)</f>
        <v>現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学校生活</v>
      </c>
      <c r="M11" s="101" t="str">
        <f t="shared" si="7"/>
        <v>ス</v>
      </c>
      <c r="N11" s="100" t="str">
        <f t="shared" si="7"/>
        <v>国　語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326</v>
      </c>
      <c r="U11" s="88">
        <f>COUNTIF(C21:O34,"=10")</f>
        <v>1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小数（小3）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小数（小3）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小数（小3）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95"/>
      <c r="S12" s="94">
        <v>11</v>
      </c>
      <c r="T12" s="95" t="s">
        <v>327</v>
      </c>
      <c r="U12" s="93">
        <f>COUNTIF(C21:O34,"=11")</f>
        <v>1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 t="s">
        <v>328</v>
      </c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文と文をつなぐ言葉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文と文をつなぐ言葉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1</v>
      </c>
      <c r="V14" s="19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小数（小3）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理　科</v>
      </c>
      <c r="F16" s="101" t="str">
        <f>LOOKUP(F33,$S$2:$T$69,$T$2:$T$69)</f>
        <v>学習用具・教科用語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社　会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3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14</v>
      </c>
      <c r="V18" s="195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329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330</v>
      </c>
      <c r="U20" s="93">
        <f>COUNTIF(C21:O34,"=23")</f>
        <v>3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220</v>
      </c>
      <c r="O21" s="114">
        <v>40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223</v>
      </c>
      <c r="L22" s="117">
        <v>39</v>
      </c>
      <c r="M22" s="119">
        <v>51</v>
      </c>
      <c r="N22" s="116" t="s">
        <v>209</v>
      </c>
      <c r="O22" s="117">
        <v>53</v>
      </c>
      <c r="P22" s="119">
        <v>51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211</v>
      </c>
      <c r="F23" s="117">
        <v>10</v>
      </c>
      <c r="G23" s="119">
        <v>51</v>
      </c>
      <c r="H23" s="116" t="s">
        <v>211</v>
      </c>
      <c r="I23" s="117">
        <v>11</v>
      </c>
      <c r="J23" s="119">
        <v>51</v>
      </c>
      <c r="K23" s="116" t="s">
        <v>209</v>
      </c>
      <c r="L23" s="117">
        <v>59</v>
      </c>
      <c r="M23" s="119">
        <v>51</v>
      </c>
      <c r="N23" s="116" t="s">
        <v>209</v>
      </c>
      <c r="O23" s="117">
        <v>57</v>
      </c>
      <c r="P23" s="119">
        <v>51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95"/>
      <c r="S24" s="86">
        <v>27</v>
      </c>
      <c r="T24" s="91" t="s">
        <v>331</v>
      </c>
      <c r="U24" s="88">
        <f>COUNTIF(C21:O34,"=27")</f>
        <v>7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/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23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214</v>
      </c>
      <c r="L26" s="114">
        <v>23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195"/>
      <c r="S26" s="94">
        <v>29</v>
      </c>
      <c r="T26" s="95"/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211</v>
      </c>
      <c r="F27" s="117">
        <v>2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211</v>
      </c>
      <c r="L27" s="117">
        <v>3</v>
      </c>
      <c r="M27" s="118">
        <v>50</v>
      </c>
      <c r="N27" s="116" t="s">
        <v>220</v>
      </c>
      <c r="O27" s="117">
        <v>40</v>
      </c>
      <c r="P27" s="118">
        <v>50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209</v>
      </c>
      <c r="F28" s="117">
        <v>59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209</v>
      </c>
      <c r="L28" s="117">
        <v>59</v>
      </c>
      <c r="M28" s="119">
        <v>51</v>
      </c>
      <c r="N28" s="116" t="s">
        <v>211</v>
      </c>
      <c r="O28" s="117">
        <v>13</v>
      </c>
      <c r="P28" s="119">
        <v>51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16" t="s">
        <v>214</v>
      </c>
      <c r="F29" s="117">
        <v>27</v>
      </c>
      <c r="G29" s="119">
        <v>51</v>
      </c>
      <c r="H29" s="116" t="s">
        <v>214</v>
      </c>
      <c r="I29" s="117">
        <v>27</v>
      </c>
      <c r="J29" s="119">
        <v>51</v>
      </c>
      <c r="K29" s="116" t="s">
        <v>214</v>
      </c>
      <c r="L29" s="117">
        <v>27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211</v>
      </c>
      <c r="F31" s="114">
        <v>4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7</v>
      </c>
      <c r="V31" s="19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27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12</v>
      </c>
      <c r="V32" s="19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220</v>
      </c>
      <c r="F33" s="117">
        <v>44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332</v>
      </c>
      <c r="U33" s="88">
        <f>COUNTIF(C21:O34,"=35")</f>
        <v>1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16" t="s">
        <v>223</v>
      </c>
      <c r="C34" s="117">
        <v>39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2</v>
      </c>
      <c r="V37" s="19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03" t="s">
        <v>90</v>
      </c>
      <c r="D39" s="202"/>
      <c r="E39" s="202"/>
      <c r="F39" s="203" t="s">
        <v>70</v>
      </c>
      <c r="G39" s="202"/>
      <c r="H39" s="202"/>
      <c r="I39" s="203" t="s">
        <v>125</v>
      </c>
      <c r="J39" s="204"/>
      <c r="K39" s="204"/>
      <c r="L39" s="203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333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188</v>
      </c>
      <c r="D40" s="207"/>
      <c r="E40" s="207"/>
      <c r="F40" s="206" t="s">
        <v>93</v>
      </c>
      <c r="G40" s="207"/>
      <c r="H40" s="207"/>
      <c r="I40" s="206" t="s">
        <v>128</v>
      </c>
      <c r="J40" s="208"/>
      <c r="K40" s="208"/>
      <c r="L40" s="206" t="s">
        <v>175</v>
      </c>
      <c r="M40" s="207"/>
      <c r="N40" s="207"/>
      <c r="O40" s="134" t="s">
        <v>259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96</v>
      </c>
      <c r="D41" s="207"/>
      <c r="E41" s="207"/>
      <c r="F41" s="206" t="s">
        <v>97</v>
      </c>
      <c r="G41" s="207"/>
      <c r="H41" s="207"/>
      <c r="I41" s="206" t="s">
        <v>130</v>
      </c>
      <c r="J41" s="208"/>
      <c r="K41" s="208"/>
      <c r="L41" s="206" t="s">
        <v>132</v>
      </c>
      <c r="M41" s="207"/>
      <c r="N41" s="207"/>
      <c r="O41" s="134" t="s">
        <v>313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100</v>
      </c>
      <c r="D42" s="207"/>
      <c r="E42" s="207"/>
      <c r="F42" s="206" t="s">
        <v>101</v>
      </c>
      <c r="G42" s="207"/>
      <c r="H42" s="207"/>
      <c r="I42" s="206" t="s">
        <v>132</v>
      </c>
      <c r="J42" s="208"/>
      <c r="K42" s="208"/>
      <c r="L42" s="206" t="s">
        <v>314</v>
      </c>
      <c r="M42" s="207"/>
      <c r="N42" s="207"/>
      <c r="O42" s="134" t="s">
        <v>315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4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4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4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3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3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12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39" sqref="C39:O4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334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322</v>
      </c>
      <c r="U2" s="88">
        <f>COUNTIF(C21:O34,"=1")</f>
        <v>3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323</v>
      </c>
      <c r="U3" s="93">
        <f>COUNTIF(C21:O34,"=2")</f>
        <v>3</v>
      </c>
      <c r="V3" s="195"/>
      <c r="W3" s="9"/>
      <c r="X3" s="96" t="s">
        <v>211</v>
      </c>
      <c r="Y3" s="95" t="s">
        <v>212</v>
      </c>
      <c r="Z3" s="93">
        <f>COUNTIF(B21:P34,"=b")</f>
        <v>12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短歌・俳句に親しもう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短歌・俳句に親しもう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プラタナスの木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プラタナスの木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プラタナスの木</v>
      </c>
      <c r="P4" s="87" t="str">
        <f>LOOKUP(P21,$X$2:$Y$43,$Y$2:$Y$43)</f>
        <v>現</v>
      </c>
      <c r="Q4" s="9"/>
      <c r="R4" s="195"/>
      <c r="S4" s="94">
        <v>3</v>
      </c>
      <c r="T4" s="95" t="s">
        <v>324</v>
      </c>
      <c r="U4" s="93">
        <f>COUNTIF(C21:O34,"=3")</f>
        <v>2</v>
      </c>
      <c r="V4" s="195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小数のかけ算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短歌・俳句に親しもう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小数のわり算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小数のわり算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小数のわり算</v>
      </c>
      <c r="P5" s="101" t="str">
        <f>LOOKUP(P22,$X$2:$Y$43,$Y$2:$Y$43)</f>
        <v>現</v>
      </c>
      <c r="Q5" s="9"/>
      <c r="R5" s="195"/>
      <c r="S5" s="94">
        <v>4</v>
      </c>
      <c r="T5" s="95" t="s">
        <v>325</v>
      </c>
      <c r="U5" s="93">
        <f>COUNTIF(C21:O34,"=4")</f>
        <v>3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小数のかけ算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もののあたたまり方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わたしたちの県</v>
      </c>
      <c r="P6" s="101" t="str">
        <f>LOOKUP(P23,$X$2:$Y$43,$Y$2:$Y$43)</f>
        <v>現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理　科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小数（小3）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小数（小3）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小数（小3）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漢字の広場④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漢字の広場④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文と文をつなぐ言葉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文と文をつなぐ言葉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文と文をつなぐ言葉</v>
      </c>
      <c r="G10" s="101" t="str">
        <f t="shared" si="5"/>
        <v>現</v>
      </c>
      <c r="H10" s="100" t="str">
        <f t="shared" si="5"/>
        <v>社　会</v>
      </c>
      <c r="I10" s="101" t="str">
        <f>LOOKUP(I27,$S$2:$T$69,$T$2:$T$69)</f>
        <v>わたしたちの県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もののあたたまり方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家庭生活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小数（小3）</v>
      </c>
      <c r="G11" s="101" t="str">
        <f t="shared" si="5"/>
        <v>ス</v>
      </c>
      <c r="H11" s="100" t="str">
        <f t="shared" si="5"/>
        <v>音　楽</v>
      </c>
      <c r="I11" s="101" t="str">
        <f>LOOKUP(I28,$S$2:$T$69,$T$2:$T$69)</f>
        <v>学習用具・教科用語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326</v>
      </c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社　会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国　語</v>
      </c>
      <c r="I12" s="101" t="str">
        <f>LOOKUP(I29,$S$2:$T$69,$T$2:$T$69)</f>
        <v>つなぎ言葉（小2）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学校生活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327</v>
      </c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 t="s">
        <v>328</v>
      </c>
      <c r="U13" s="93">
        <f>COUNTIF(C21:O34,"=12")</f>
        <v>1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1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12</v>
      </c>
      <c r="V18" s="195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329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330</v>
      </c>
      <c r="U20" s="93">
        <f>COUNTIF(C21:O34,"=23")</f>
        <v>3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220</v>
      </c>
      <c r="C24" s="117">
        <v>44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214</v>
      </c>
      <c r="O24" s="117">
        <v>27</v>
      </c>
      <c r="P24" s="119">
        <v>51</v>
      </c>
      <c r="Q24" s="9"/>
      <c r="R24" s="195"/>
      <c r="S24" s="86">
        <v>27</v>
      </c>
      <c r="T24" s="91" t="s">
        <v>331</v>
      </c>
      <c r="U24" s="88">
        <f>COUNTIF(C21:O34,"=27")</f>
        <v>4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/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/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16" t="s">
        <v>211</v>
      </c>
      <c r="F27" s="117">
        <v>4</v>
      </c>
      <c r="G27" s="118">
        <v>50</v>
      </c>
      <c r="H27" s="116" t="s">
        <v>223</v>
      </c>
      <c r="I27" s="117">
        <v>35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58</v>
      </c>
      <c r="D28" s="119">
        <v>51</v>
      </c>
      <c r="E28" s="116" t="s">
        <v>214</v>
      </c>
      <c r="F28" s="117">
        <v>27</v>
      </c>
      <c r="G28" s="119">
        <v>51</v>
      </c>
      <c r="H28" s="116" t="s">
        <v>227</v>
      </c>
      <c r="I28" s="117">
        <v>47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223</v>
      </c>
      <c r="C29" s="117">
        <v>39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211</v>
      </c>
      <c r="I29" s="117">
        <v>12</v>
      </c>
      <c r="J29" s="119">
        <v>51</v>
      </c>
      <c r="K29" s="116" t="s">
        <v>209</v>
      </c>
      <c r="L29" s="117">
        <v>59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4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9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332</v>
      </c>
      <c r="U33" s="88">
        <f>COUNTIF(C21:O34,"=35")</f>
        <v>2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0" t="s">
        <v>90</v>
      </c>
      <c r="D39" s="212"/>
      <c r="E39" s="212"/>
      <c r="F39" s="210" t="s">
        <v>70</v>
      </c>
      <c r="G39" s="212"/>
      <c r="H39" s="212"/>
      <c r="I39" s="210" t="s">
        <v>125</v>
      </c>
      <c r="J39" s="212"/>
      <c r="K39" s="212"/>
      <c r="L39" s="210" t="s">
        <v>311</v>
      </c>
      <c r="M39" s="212"/>
      <c r="N39" s="202"/>
      <c r="O39" s="133" t="s">
        <v>257</v>
      </c>
      <c r="P39" s="9"/>
      <c r="R39" s="194" t="s">
        <v>258</v>
      </c>
      <c r="S39" s="128">
        <v>40</v>
      </c>
      <c r="T39" s="91" t="s">
        <v>333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105</v>
      </c>
      <c r="D40" s="213"/>
      <c r="E40" s="213"/>
      <c r="F40" s="206" t="s">
        <v>106</v>
      </c>
      <c r="G40" s="207"/>
      <c r="H40" s="207"/>
      <c r="I40" s="206" t="s">
        <v>136</v>
      </c>
      <c r="J40" s="208"/>
      <c r="K40" s="208"/>
      <c r="L40" s="206" t="s">
        <v>108</v>
      </c>
      <c r="M40" s="213"/>
      <c r="N40" s="207"/>
      <c r="O40" s="134" t="s">
        <v>317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107</v>
      </c>
      <c r="D41" s="213"/>
      <c r="E41" s="213"/>
      <c r="F41" s="206" t="s">
        <v>108</v>
      </c>
      <c r="G41" s="207"/>
      <c r="H41" s="207"/>
      <c r="I41" s="206" t="s">
        <v>130</v>
      </c>
      <c r="J41" s="208"/>
      <c r="K41" s="208"/>
      <c r="L41" s="206" t="s">
        <v>132</v>
      </c>
      <c r="M41" s="213"/>
      <c r="N41" s="207"/>
      <c r="O41" s="134" t="s">
        <v>278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109</v>
      </c>
      <c r="D42" s="213"/>
      <c r="E42" s="213"/>
      <c r="F42" s="206" t="s">
        <v>107</v>
      </c>
      <c r="G42" s="207"/>
      <c r="H42" s="207"/>
      <c r="I42" s="206" t="s">
        <v>132</v>
      </c>
      <c r="J42" s="208"/>
      <c r="K42" s="208"/>
      <c r="L42" s="206" t="s">
        <v>318</v>
      </c>
      <c r="M42" s="213"/>
      <c r="N42" s="207"/>
      <c r="O42" s="134" t="s">
        <v>319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2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1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1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6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39" sqref="C39:O4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335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322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323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短歌・俳句に親しもう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プラタナスの木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プラタナスの木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漢字の広場④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文と文をつなぐ言葉</v>
      </c>
      <c r="P4" s="87" t="str">
        <f>LOOKUP(P21,$X$2:$Y$43,$Y$2:$Y$43)</f>
        <v>現</v>
      </c>
      <c r="Q4" s="9"/>
      <c r="R4" s="195"/>
      <c r="S4" s="94">
        <v>3</v>
      </c>
      <c r="T4" s="95" t="s">
        <v>324</v>
      </c>
      <c r="U4" s="93">
        <f>COUNTIF(C21:O34,"=3")</f>
        <v>1</v>
      </c>
      <c r="V4" s="19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短歌・俳句に親しもう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小数のかけ算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小数のわり算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小数のわり算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小数のわり算</v>
      </c>
      <c r="P5" s="101" t="str">
        <f>LOOKUP(P22,$X$2:$Y$43,$Y$2:$Y$43)</f>
        <v>現</v>
      </c>
      <c r="Q5" s="9"/>
      <c r="R5" s="195"/>
      <c r="S5" s="94">
        <v>4</v>
      </c>
      <c r="T5" s="95" t="s">
        <v>325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小数のかけ算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もののあたたまり方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もののあたたまり方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わたしたちの県</v>
      </c>
      <c r="P6" s="101" t="str">
        <f>LOOKUP(P23,$X$2:$Y$43,$Y$2:$Y$43)</f>
        <v>現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日本語能力試験</v>
      </c>
      <c r="D7" s="101" t="str">
        <f t="shared" si="0"/>
        <v>ス</v>
      </c>
      <c r="E7" s="100" t="str">
        <f t="shared" si="0"/>
        <v>社　会</v>
      </c>
      <c r="F7" s="101" t="str">
        <f>LOOKUP(F24,$S$2:$T$69,$T$2:$T$69)</f>
        <v>学習用具・教科用語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小数（小3）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日本の文化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文と文をつなぐ言葉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7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わたしたちの県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326</v>
      </c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327</v>
      </c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 t="s">
        <v>328</v>
      </c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0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7</v>
      </c>
      <c r="V18" s="195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329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330</v>
      </c>
      <c r="U20" s="93">
        <f>COUNTIF(C21:O34,"=23")</f>
        <v>3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55</v>
      </c>
      <c r="D24" s="119">
        <v>51</v>
      </c>
      <c r="E24" s="116" t="s">
        <v>223</v>
      </c>
      <c r="F24" s="117">
        <v>39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53</v>
      </c>
      <c r="M24" s="119">
        <v>51</v>
      </c>
      <c r="N24" s="116" t="s">
        <v>234</v>
      </c>
      <c r="O24" s="117">
        <v>47</v>
      </c>
      <c r="P24" s="119">
        <v>51</v>
      </c>
      <c r="Q24" s="9"/>
      <c r="R24" s="195"/>
      <c r="S24" s="86">
        <v>27</v>
      </c>
      <c r="T24" s="91" t="s">
        <v>331</v>
      </c>
      <c r="U24" s="88">
        <f>COUNTIF(C21:O34,"=27")</f>
        <v>1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/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/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1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6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332</v>
      </c>
      <c r="U33" s="88">
        <f>COUNTIF(C21:O34,"=35")</f>
        <v>2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1" t="s">
        <v>90</v>
      </c>
      <c r="D39" s="202"/>
      <c r="E39" s="202"/>
      <c r="F39" s="211" t="s">
        <v>70</v>
      </c>
      <c r="G39" s="202"/>
      <c r="H39" s="202"/>
      <c r="I39" s="211" t="s">
        <v>125</v>
      </c>
      <c r="J39" s="204"/>
      <c r="K39" s="204"/>
      <c r="L39" s="211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333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140</v>
      </c>
      <c r="D40" s="207"/>
      <c r="E40" s="207"/>
      <c r="F40" s="206" t="s">
        <v>114</v>
      </c>
      <c r="G40" s="207"/>
      <c r="H40" s="207"/>
      <c r="I40" s="206" t="s">
        <v>136</v>
      </c>
      <c r="J40" s="208"/>
      <c r="K40" s="208"/>
      <c r="L40" s="206" t="s">
        <v>108</v>
      </c>
      <c r="M40" s="207"/>
      <c r="N40" s="207"/>
      <c r="O40" s="134" t="s">
        <v>281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114</v>
      </c>
      <c r="D41" s="207"/>
      <c r="E41" s="207"/>
      <c r="F41" s="206" t="s">
        <v>116</v>
      </c>
      <c r="G41" s="207"/>
      <c r="H41" s="207"/>
      <c r="I41" s="206" t="s">
        <v>141</v>
      </c>
      <c r="J41" s="208"/>
      <c r="K41" s="208"/>
      <c r="L41" s="206" t="s">
        <v>116</v>
      </c>
      <c r="M41" s="207"/>
      <c r="N41" s="207"/>
      <c r="O41" s="134" t="s">
        <v>282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142</v>
      </c>
      <c r="D42" s="207"/>
      <c r="E42" s="207"/>
      <c r="F42" s="206" t="s">
        <v>115</v>
      </c>
      <c r="G42" s="207"/>
      <c r="H42" s="207"/>
      <c r="I42" s="206" t="s">
        <v>116</v>
      </c>
      <c r="J42" s="208"/>
      <c r="K42" s="208"/>
      <c r="L42" s="206" t="s">
        <v>115</v>
      </c>
      <c r="M42" s="207"/>
      <c r="N42" s="207"/>
      <c r="O42" s="134" t="s">
        <v>283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0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2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J28" sqref="J2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336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337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13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338</v>
      </c>
      <c r="U3" s="93">
        <f>COUNTIF(C21:O34,"=2")</f>
        <v>3</v>
      </c>
      <c r="V3" s="195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同じ読み方の漢字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同じ読み方の漢字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百年後のふるさとを守る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百年後のふるさとを守る</v>
      </c>
      <c r="M4" s="87" t="str">
        <f t="shared" ref="M4:N7" si="3">LOOKUP(M21,$X$2:$Y$43,$Y$2:$Y$43)</f>
        <v>現</v>
      </c>
      <c r="N4" s="98" t="str">
        <f t="shared" si="3"/>
        <v>算　数</v>
      </c>
      <c r="O4" s="87" t="str">
        <f>LOOKUP(O21,$S$2:$T$69,$T$2:$T$69)</f>
        <v>分数と小数の関係</v>
      </c>
      <c r="P4" s="87" t="str">
        <f>LOOKUP(P21,$X$2:$Y$43,$Y$2:$Y$43)</f>
        <v>現</v>
      </c>
      <c r="Q4" s="9"/>
      <c r="R4" s="195"/>
      <c r="S4" s="94">
        <v>3</v>
      </c>
      <c r="T4" s="95" t="s">
        <v>339</v>
      </c>
      <c r="U4" s="93">
        <f>COUNTIF(C21:O34,"=3")</f>
        <v>3</v>
      </c>
      <c r="V4" s="195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分数のかけ算とわり算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情報化社会とわたしたちの生活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分数のかけ算とわり算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学習用具・教科用語</v>
      </c>
      <c r="M5" s="101" t="str">
        <f t="shared" si="3"/>
        <v>ス</v>
      </c>
      <c r="N5" s="100" t="str">
        <f t="shared" si="3"/>
        <v>理　科</v>
      </c>
      <c r="O5" s="101" t="str">
        <f>LOOKUP(O22,$S$2:$T$69,$T$2:$T$69)</f>
        <v>電磁石の性質</v>
      </c>
      <c r="P5" s="101" t="str">
        <f>LOOKUP(P22,$X$2:$Y$43,$Y$2:$Y$43)</f>
        <v>現</v>
      </c>
      <c r="Q5" s="9"/>
      <c r="R5" s="195"/>
      <c r="S5" s="94">
        <v>4</v>
      </c>
      <c r="T5" s="95" t="s">
        <v>340</v>
      </c>
      <c r="U5" s="93">
        <f>COUNTIF(C21:O34,"=4")</f>
        <v>3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国　語</v>
      </c>
      <c r="F6" s="101" t="str">
        <f>LOOKUP(F23,$S$2:$T$69,$T$2:$T$69)</f>
        <v>まちがえやすい漢字（小4）</v>
      </c>
      <c r="G6" s="101" t="str">
        <f t="shared" si="1"/>
        <v>ス</v>
      </c>
      <c r="H6" s="100" t="str">
        <f t="shared" si="1"/>
        <v>国　語</v>
      </c>
      <c r="I6" s="101" t="str">
        <f>LOOKUP(I23,$S$2:$T$69,$T$2:$T$69)</f>
        <v>まちがえやすい漢字（小4）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学校生活</v>
      </c>
      <c r="P6" s="101" t="str">
        <f>LOOKUP(P23,$X$2:$Y$43,$Y$2:$Y$43)</f>
        <v>ス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分数（小4）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分数（小4）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小数（小4）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見積もりを使って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百年後のふるさとを守る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古典の世界（二）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古典の世界（二）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分かりやすく伝える</v>
      </c>
      <c r="P9" s="87" t="str">
        <f>LOOKUP(P26,$X$2:$Y$43,$Y$2:$Y$43)</f>
        <v>現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古典の世界（二）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順々に調べて</v>
      </c>
      <c r="J10" s="101" t="str">
        <f t="shared" si="6"/>
        <v>現</v>
      </c>
      <c r="K10" s="100" t="str">
        <f t="shared" si="6"/>
        <v>日本語</v>
      </c>
      <c r="L10" s="101" t="str">
        <f>LOOKUP(L27,$S$2:$T$69,$T$2:$T$69)</f>
        <v>日本の文化</v>
      </c>
      <c r="M10" s="101" t="str">
        <f t="shared" si="7"/>
        <v>ス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社　会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理　科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195"/>
      <c r="S11" s="86">
        <v>10</v>
      </c>
      <c r="T11" s="91" t="s">
        <v>341</v>
      </c>
      <c r="U11" s="88">
        <f>COUNTIF(C21:O34,"=10")</f>
        <v>2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小数（小4）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がい数とその計算（小4）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がい数とその計算（小4）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95"/>
      <c r="S12" s="94">
        <v>11</v>
      </c>
      <c r="T12" s="95" t="s">
        <v>342</v>
      </c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分かりやすく伝える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分かりやすく伝える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がい数とその計算（小4）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2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13</v>
      </c>
      <c r="V18" s="195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343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344</v>
      </c>
      <c r="U20" s="93">
        <f>COUNTIF(C21:O34,"=23")</f>
        <v>1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214</v>
      </c>
      <c r="O21" s="114">
        <v>23</v>
      </c>
      <c r="P21" s="115">
        <v>50</v>
      </c>
      <c r="Q21" s="9"/>
      <c r="R21" s="195"/>
      <c r="S21" s="94">
        <v>24</v>
      </c>
      <c r="T21" s="95" t="s">
        <v>345</v>
      </c>
      <c r="U21" s="93">
        <f>COUNTIF(C21:O34,"=24")</f>
        <v>1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223</v>
      </c>
      <c r="L22" s="117">
        <v>39</v>
      </c>
      <c r="M22" s="119">
        <v>51</v>
      </c>
      <c r="N22" s="116" t="s">
        <v>220</v>
      </c>
      <c r="O22" s="117">
        <v>40</v>
      </c>
      <c r="P22" s="118">
        <v>50</v>
      </c>
      <c r="Q22" s="9"/>
      <c r="R22" s="195"/>
      <c r="S22" s="94">
        <v>25</v>
      </c>
      <c r="T22" s="95" t="s">
        <v>346</v>
      </c>
      <c r="U22" s="93">
        <f>COUNTIF(C21:O34,"=25")</f>
        <v>1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211</v>
      </c>
      <c r="F23" s="117">
        <v>10</v>
      </c>
      <c r="G23" s="119">
        <v>51</v>
      </c>
      <c r="H23" s="116" t="s">
        <v>211</v>
      </c>
      <c r="I23" s="117">
        <v>10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59</v>
      </c>
      <c r="P23" s="119">
        <v>51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95"/>
      <c r="S24" s="86">
        <v>27</v>
      </c>
      <c r="T24" s="91" t="s">
        <v>347</v>
      </c>
      <c r="U24" s="88">
        <f>COUNTIF(C21:O34,"=27")</f>
        <v>2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348</v>
      </c>
      <c r="U25" s="93">
        <f>COUNTIF(C21:O34,"=28")</f>
        <v>2</v>
      </c>
      <c r="V25" s="195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24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195"/>
      <c r="S26" s="94">
        <v>29</v>
      </c>
      <c r="T26" s="95" t="s">
        <v>349</v>
      </c>
      <c r="U26" s="93">
        <f>COUNTIF(C21:O34,"=29")</f>
        <v>3</v>
      </c>
      <c r="V26" s="19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214</v>
      </c>
      <c r="I27" s="117">
        <v>25</v>
      </c>
      <c r="J27" s="118">
        <v>50</v>
      </c>
      <c r="K27" s="116" t="s">
        <v>209</v>
      </c>
      <c r="L27" s="117">
        <v>53</v>
      </c>
      <c r="M27" s="119">
        <v>51</v>
      </c>
      <c r="N27" s="116" t="s">
        <v>230</v>
      </c>
      <c r="O27" s="117">
        <v>47</v>
      </c>
      <c r="P27" s="118">
        <v>50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223</v>
      </c>
      <c r="F28" s="117">
        <v>39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220</v>
      </c>
      <c r="L28" s="117">
        <v>44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211</v>
      </c>
      <c r="F31" s="114">
        <v>4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7</v>
      </c>
      <c r="V31" s="19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29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12</v>
      </c>
      <c r="V32" s="19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350</v>
      </c>
      <c r="U33" s="88">
        <f>COUNTIF(C21:O34,"=35")</f>
        <v>1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2</v>
      </c>
      <c r="V37" s="19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03" t="s">
        <v>90</v>
      </c>
      <c r="D39" s="202"/>
      <c r="E39" s="202"/>
      <c r="F39" s="203" t="s">
        <v>70</v>
      </c>
      <c r="G39" s="202"/>
      <c r="H39" s="202"/>
      <c r="I39" s="203" t="s">
        <v>146</v>
      </c>
      <c r="J39" s="204"/>
      <c r="K39" s="204"/>
      <c r="L39" s="203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351</v>
      </c>
      <c r="U39" s="88">
        <f>COUNTIF(C21:O34,"=40")</f>
        <v>1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188</v>
      </c>
      <c r="D40" s="207"/>
      <c r="E40" s="207"/>
      <c r="F40" s="206" t="s">
        <v>93</v>
      </c>
      <c r="G40" s="207"/>
      <c r="H40" s="207"/>
      <c r="I40" s="206" t="s">
        <v>128</v>
      </c>
      <c r="J40" s="208"/>
      <c r="K40" s="208"/>
      <c r="L40" s="206" t="s">
        <v>175</v>
      </c>
      <c r="M40" s="207"/>
      <c r="N40" s="207"/>
      <c r="O40" s="134" t="s">
        <v>259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96</v>
      </c>
      <c r="D41" s="207"/>
      <c r="E41" s="207"/>
      <c r="F41" s="206" t="s">
        <v>97</v>
      </c>
      <c r="G41" s="207"/>
      <c r="H41" s="207"/>
      <c r="I41" s="206" t="s">
        <v>130</v>
      </c>
      <c r="J41" s="208"/>
      <c r="K41" s="208"/>
      <c r="L41" s="206" t="s">
        <v>132</v>
      </c>
      <c r="M41" s="207"/>
      <c r="N41" s="207"/>
      <c r="O41" s="134" t="s">
        <v>313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100</v>
      </c>
      <c r="D42" s="207"/>
      <c r="E42" s="207"/>
      <c r="F42" s="206" t="s">
        <v>101</v>
      </c>
      <c r="G42" s="207"/>
      <c r="H42" s="207"/>
      <c r="I42" s="206" t="s">
        <v>132</v>
      </c>
      <c r="J42" s="208"/>
      <c r="K42" s="208"/>
      <c r="L42" s="206" t="s">
        <v>314</v>
      </c>
      <c r="M42" s="207"/>
      <c r="N42" s="207"/>
      <c r="O42" s="134" t="s">
        <v>315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2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4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4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2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4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3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3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13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D28" sqref="D28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352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337</v>
      </c>
      <c r="U2" s="88">
        <f>COUNTIF(C21:O34,"=1")</f>
        <v>3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6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338</v>
      </c>
      <c r="U3" s="93">
        <f>COUNTIF(C21:O34,"=2")</f>
        <v>3</v>
      </c>
      <c r="V3" s="195"/>
      <c r="W3" s="9"/>
      <c r="X3" s="96" t="s">
        <v>211</v>
      </c>
      <c r="Y3" s="95" t="s">
        <v>212</v>
      </c>
      <c r="Z3" s="93">
        <f>COUNTIF(B21:P34,"=b")</f>
        <v>12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同じ読み方の漢字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同じ読み方の漢字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百年後のふるさとを守る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百年後のふるさとを守る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百年後のふるさとを守る</v>
      </c>
      <c r="P4" s="87" t="str">
        <f>LOOKUP(P21,$X$2:$Y$43,$Y$2:$Y$43)</f>
        <v>現</v>
      </c>
      <c r="Q4" s="9"/>
      <c r="R4" s="195"/>
      <c r="S4" s="94">
        <v>3</v>
      </c>
      <c r="T4" s="95" t="s">
        <v>339</v>
      </c>
      <c r="U4" s="93">
        <f>COUNTIF(C21:O34,"=3")</f>
        <v>3</v>
      </c>
      <c r="V4" s="195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分数のかけ算とわり算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同じ読み方の漢字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分数と小数の関係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見積もりを使って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順々に調べて</v>
      </c>
      <c r="P5" s="101" t="str">
        <f>LOOKUP(P22,$X$2:$Y$43,$Y$2:$Y$43)</f>
        <v>現</v>
      </c>
      <c r="Q5" s="9"/>
      <c r="R5" s="195"/>
      <c r="S5" s="94">
        <v>4</v>
      </c>
      <c r="T5" s="95" t="s">
        <v>340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まちがえやすい漢字（小4）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分数のかけ算とわり算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電磁石の性質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情報化社会とわたしたちの生活</v>
      </c>
      <c r="P6" s="101" t="str">
        <f>LOOKUP(P23,$X$2:$Y$43,$Y$2:$Y$43)</f>
        <v>現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家庭生活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分数（小4）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小数（小4）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がい数とその計算（小4）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古典の世界（二）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古典の世界（二）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分かりやすく伝える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分かりやすく伝える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古典の世界（二）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電磁石の性質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学校生活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がい数とその計算（小4）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情報化社会とわたしたちの生活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341</v>
      </c>
      <c r="U11" s="88">
        <f>COUNTIF(C21:O34,"=10")</f>
        <v>1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語彙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342</v>
      </c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1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12</v>
      </c>
      <c r="V18" s="195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343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344</v>
      </c>
      <c r="U20" s="93">
        <f>COUNTIF(C21:O34,"=23")</f>
        <v>1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195"/>
      <c r="S21" s="94">
        <v>24</v>
      </c>
      <c r="T21" s="95" t="s">
        <v>345</v>
      </c>
      <c r="U21" s="93">
        <f>COUNTIF(C21:O34,"=24")</f>
        <v>1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24</v>
      </c>
      <c r="M22" s="118">
        <v>50</v>
      </c>
      <c r="N22" s="116" t="s">
        <v>214</v>
      </c>
      <c r="O22" s="117">
        <v>25</v>
      </c>
      <c r="P22" s="118">
        <v>50</v>
      </c>
      <c r="Q22" s="9"/>
      <c r="R22" s="195"/>
      <c r="S22" s="94">
        <v>25</v>
      </c>
      <c r="T22" s="95" t="s">
        <v>346</v>
      </c>
      <c r="U22" s="93">
        <f>COUNTIF(C21:O34,"=25")</f>
        <v>1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58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195"/>
      <c r="S24" s="86">
        <v>27</v>
      </c>
      <c r="T24" s="91" t="s">
        <v>347</v>
      </c>
      <c r="U24" s="88">
        <f>COUNTIF(C21:O34,"=27")</f>
        <v>1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348</v>
      </c>
      <c r="U25" s="93">
        <f>COUNTIF(C21:O34,"=28")</f>
        <v>1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349</v>
      </c>
      <c r="U26" s="93">
        <f>COUNTIF(C21:O34,"=29")</f>
        <v>2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230</v>
      </c>
      <c r="I27" s="117">
        <v>47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59</v>
      </c>
      <c r="D28" s="119">
        <v>51</v>
      </c>
      <c r="E28" s="116" t="s">
        <v>214</v>
      </c>
      <c r="F28" s="117">
        <v>29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57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4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9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350</v>
      </c>
      <c r="U33" s="88">
        <f>COUNTIF(C21:O34,"=35")</f>
        <v>2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0" t="s">
        <v>90</v>
      </c>
      <c r="D39" s="212"/>
      <c r="E39" s="212"/>
      <c r="F39" s="210" t="s">
        <v>70</v>
      </c>
      <c r="G39" s="212"/>
      <c r="H39" s="212"/>
      <c r="I39" s="210" t="s">
        <v>146</v>
      </c>
      <c r="J39" s="204"/>
      <c r="K39" s="204"/>
      <c r="L39" s="210" t="s">
        <v>311</v>
      </c>
      <c r="M39" s="212"/>
      <c r="N39" s="202"/>
      <c r="O39" s="133" t="s">
        <v>257</v>
      </c>
      <c r="P39" s="9"/>
      <c r="R39" s="194" t="s">
        <v>258</v>
      </c>
      <c r="S39" s="128">
        <v>40</v>
      </c>
      <c r="T39" s="91" t="s">
        <v>351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105</v>
      </c>
      <c r="D40" s="213"/>
      <c r="E40" s="213"/>
      <c r="F40" s="206" t="s">
        <v>106</v>
      </c>
      <c r="G40" s="207"/>
      <c r="H40" s="207"/>
      <c r="I40" s="206" t="s">
        <v>136</v>
      </c>
      <c r="J40" s="208"/>
      <c r="K40" s="208"/>
      <c r="L40" s="206" t="s">
        <v>108</v>
      </c>
      <c r="M40" s="213"/>
      <c r="N40" s="207"/>
      <c r="O40" s="134" t="s">
        <v>317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107</v>
      </c>
      <c r="D41" s="213"/>
      <c r="E41" s="213"/>
      <c r="F41" s="206" t="s">
        <v>108</v>
      </c>
      <c r="G41" s="207"/>
      <c r="H41" s="207"/>
      <c r="I41" s="206" t="s">
        <v>130</v>
      </c>
      <c r="J41" s="208"/>
      <c r="K41" s="208"/>
      <c r="L41" s="206" t="s">
        <v>132</v>
      </c>
      <c r="M41" s="213"/>
      <c r="N41" s="207"/>
      <c r="O41" s="134" t="s">
        <v>278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109</v>
      </c>
      <c r="D42" s="213"/>
      <c r="E42" s="213"/>
      <c r="F42" s="206" t="s">
        <v>107</v>
      </c>
      <c r="G42" s="207"/>
      <c r="H42" s="207"/>
      <c r="I42" s="206" t="s">
        <v>132</v>
      </c>
      <c r="J42" s="208"/>
      <c r="K42" s="208"/>
      <c r="L42" s="206" t="s">
        <v>318</v>
      </c>
      <c r="M42" s="213"/>
      <c r="N42" s="207"/>
      <c r="O42" s="134" t="s">
        <v>319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2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1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1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1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6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J24" sqref="J24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353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337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338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同じ読み方の漢字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百年後のふるさとを守る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百年後のふるさとを守る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古典の世界（二）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古典の世界（二）</v>
      </c>
      <c r="P4" s="87" t="str">
        <f>LOOKUP(P21,$X$2:$Y$43,$Y$2:$Y$43)</f>
        <v>現</v>
      </c>
      <c r="Q4" s="9"/>
      <c r="R4" s="195"/>
      <c r="S4" s="94">
        <v>3</v>
      </c>
      <c r="T4" s="95" t="s">
        <v>339</v>
      </c>
      <c r="U4" s="93">
        <f>COUNTIF(C21:O34,"=3")</f>
        <v>2</v>
      </c>
      <c r="V4" s="19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同じ読み方の漢字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分数のかけ算とわり算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分数と小数の関係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見積もりを使って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順々に調べて</v>
      </c>
      <c r="P5" s="101" t="str">
        <f>LOOKUP(P22,$X$2:$Y$43,$Y$2:$Y$43)</f>
        <v>現</v>
      </c>
      <c r="Q5" s="9"/>
      <c r="R5" s="195"/>
      <c r="S5" s="94">
        <v>4</v>
      </c>
      <c r="T5" s="95" t="s">
        <v>340</v>
      </c>
      <c r="U5" s="93">
        <f>COUNTIF(C21:O34,"=4")</f>
        <v>1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分数のかけ算とわり算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電磁石の性質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電磁石の性質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情報化社会とわたしたちの生活</v>
      </c>
      <c r="P6" s="101" t="str">
        <f>LOOKUP(P23,$X$2:$Y$43,$Y$2:$Y$43)</f>
        <v>現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日本の文化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がい数とその計算（小4）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分かりやすく伝える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7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情報化社会とわたしたちの生活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341</v>
      </c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342</v>
      </c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0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7</v>
      </c>
      <c r="V18" s="195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343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344</v>
      </c>
      <c r="U20" s="93">
        <f>COUNTIF(C21:O34,"=23")</f>
        <v>1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95"/>
      <c r="S21" s="94">
        <v>24</v>
      </c>
      <c r="T21" s="95" t="s">
        <v>345</v>
      </c>
      <c r="U21" s="93">
        <f>COUNTIF(C21:O34,"=24")</f>
        <v>1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24</v>
      </c>
      <c r="M22" s="118">
        <v>50</v>
      </c>
      <c r="N22" s="116" t="s">
        <v>214</v>
      </c>
      <c r="O22" s="117">
        <v>25</v>
      </c>
      <c r="P22" s="118">
        <v>50</v>
      </c>
      <c r="Q22" s="9"/>
      <c r="R22" s="195"/>
      <c r="S22" s="94">
        <v>25</v>
      </c>
      <c r="T22" s="95" t="s">
        <v>346</v>
      </c>
      <c r="U22" s="93">
        <f>COUNTIF(C21:O34,"=25")</f>
        <v>1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209</v>
      </c>
      <c r="I24" s="117">
        <v>53</v>
      </c>
      <c r="J24" s="119">
        <v>51</v>
      </c>
      <c r="K24" s="116" t="s">
        <v>214</v>
      </c>
      <c r="L24" s="117">
        <v>29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195"/>
      <c r="S24" s="86">
        <v>27</v>
      </c>
      <c r="T24" s="91" t="s">
        <v>347</v>
      </c>
      <c r="U24" s="88">
        <f>COUNTIF(C21:O34,"=27")</f>
        <v>0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348</v>
      </c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349</v>
      </c>
      <c r="U26" s="93">
        <f>COUNTIF(C21:O34,"=29")</f>
        <v>1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1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6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350</v>
      </c>
      <c r="U33" s="88">
        <f>COUNTIF(C21:O34,"=35")</f>
        <v>2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1" t="s">
        <v>90</v>
      </c>
      <c r="D39" s="202"/>
      <c r="E39" s="202"/>
      <c r="F39" s="211" t="s">
        <v>70</v>
      </c>
      <c r="G39" s="202"/>
      <c r="H39" s="202"/>
      <c r="I39" s="211" t="s">
        <v>146</v>
      </c>
      <c r="J39" s="204"/>
      <c r="K39" s="204"/>
      <c r="L39" s="211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351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140</v>
      </c>
      <c r="D40" s="207"/>
      <c r="E40" s="207"/>
      <c r="F40" s="206" t="s">
        <v>114</v>
      </c>
      <c r="G40" s="207"/>
      <c r="H40" s="207"/>
      <c r="I40" s="206" t="s">
        <v>136</v>
      </c>
      <c r="J40" s="208"/>
      <c r="K40" s="208"/>
      <c r="L40" s="206" t="s">
        <v>108</v>
      </c>
      <c r="M40" s="207"/>
      <c r="N40" s="207"/>
      <c r="O40" s="134" t="s">
        <v>281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114</v>
      </c>
      <c r="D41" s="207"/>
      <c r="E41" s="207"/>
      <c r="F41" s="206" t="s">
        <v>116</v>
      </c>
      <c r="G41" s="207"/>
      <c r="H41" s="207"/>
      <c r="I41" s="206" t="s">
        <v>141</v>
      </c>
      <c r="J41" s="208"/>
      <c r="K41" s="208"/>
      <c r="L41" s="206" t="s">
        <v>116</v>
      </c>
      <c r="M41" s="207"/>
      <c r="N41" s="207"/>
      <c r="O41" s="134" t="s">
        <v>282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142</v>
      </c>
      <c r="D42" s="207"/>
      <c r="E42" s="207"/>
      <c r="F42" s="206" t="s">
        <v>115</v>
      </c>
      <c r="G42" s="207"/>
      <c r="H42" s="207"/>
      <c r="I42" s="206" t="s">
        <v>116</v>
      </c>
      <c r="J42" s="208"/>
      <c r="K42" s="208"/>
      <c r="L42" s="206" t="s">
        <v>115</v>
      </c>
      <c r="M42" s="207"/>
      <c r="N42" s="207"/>
      <c r="O42" s="134" t="s">
        <v>283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0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2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36" sqref="O36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354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355</v>
      </c>
      <c r="U2" s="88">
        <f>COUNTIF(C21:O34,"=1")</f>
        <v>3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9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297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日本で使う文字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日本で使う文字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日本で使う文字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漢字の広場⑤</v>
      </c>
      <c r="M4" s="87" t="str">
        <f t="shared" ref="M4:N7" si="3">LOOKUP(M21,$X$2:$Y$43,$Y$2:$Y$43)</f>
        <v>現</v>
      </c>
      <c r="N4" s="98" t="str">
        <f t="shared" si="3"/>
        <v>算　数</v>
      </c>
      <c r="O4" s="87" t="str">
        <f>LOOKUP(O21,$S$2:$T$69,$T$2:$T$69)</f>
        <v>場合を順序よく整理して</v>
      </c>
      <c r="P4" s="87" t="str">
        <f>LOOKUP(P21,$X$2:$Y$43,$Y$2:$Y$43)</f>
        <v>現</v>
      </c>
      <c r="Q4" s="9"/>
      <c r="R4" s="195"/>
      <c r="S4" s="94">
        <v>3</v>
      </c>
      <c r="T4" s="95" t="s">
        <v>356</v>
      </c>
      <c r="U4" s="93">
        <f>COUNTIF(C21:O34,"=3")</f>
        <v>3</v>
      </c>
      <c r="V4" s="195"/>
      <c r="W4" s="9"/>
      <c r="X4" s="96" t="s">
        <v>214</v>
      </c>
      <c r="Y4" s="95" t="s">
        <v>215</v>
      </c>
      <c r="Z4" s="93">
        <f>COUNTIF(B21:P34,"=c")</f>
        <v>12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場合を順序よく整理して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わたしたちの願いを実現する政治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場合を順序よく整理して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わたしたちの願いを実現する政治</v>
      </c>
      <c r="M5" s="101" t="str">
        <f t="shared" si="3"/>
        <v>現</v>
      </c>
      <c r="N5" s="100" t="str">
        <f t="shared" si="3"/>
        <v>理　科</v>
      </c>
      <c r="O5" s="101" t="str">
        <f>LOOKUP(O22,$S$2:$T$69,$T$2:$T$69)</f>
        <v>てこのはたらき</v>
      </c>
      <c r="P5" s="101" t="str">
        <f>LOOKUP(P22,$X$2:$Y$43,$Y$2:$Y$43)</f>
        <v>現</v>
      </c>
      <c r="Q5" s="9"/>
      <c r="R5" s="195"/>
      <c r="S5" s="94">
        <v>4</v>
      </c>
      <c r="T5" s="95" t="s">
        <v>357</v>
      </c>
      <c r="U5" s="93">
        <f>COUNTIF(C21:O34,"=4")</f>
        <v>3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国　語</v>
      </c>
      <c r="F6" s="101" t="str">
        <f>LOOKUP(F23,$S$2:$T$69,$T$2:$T$69)</f>
        <v>和語・漢語・外来語</v>
      </c>
      <c r="G6" s="101" t="str">
        <f t="shared" si="1"/>
        <v>ス</v>
      </c>
      <c r="H6" s="100" t="str">
        <f t="shared" si="1"/>
        <v>国　語</v>
      </c>
      <c r="I6" s="101" t="str">
        <f>LOOKUP(I23,$S$2:$T$69,$T$2:$T$69)</f>
        <v>和語・漢語・外来語</v>
      </c>
      <c r="J6" s="101" t="str">
        <f t="shared" si="2"/>
        <v>ス</v>
      </c>
      <c r="K6" s="100" t="str">
        <f t="shared" si="2"/>
        <v>国　語</v>
      </c>
      <c r="L6" s="101" t="str">
        <f>LOOKUP(L23,$S$2:$T$69,$T$2:$T$69)</f>
        <v>古典の世界（一）（小5）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古典の世界（一）（小5）</v>
      </c>
      <c r="P6" s="101" t="str">
        <f>LOOKUP(P23,$X$2:$Y$43,$Y$2:$Y$43)</f>
        <v>ス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順々に調べて（小5）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順々に調べて（小5）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順々に調べて（小5）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算　数</v>
      </c>
      <c r="C9" s="87" t="str">
        <f>LOOKUP(C26,$S$2:$T$69,$T$2:$T$69)</f>
        <v>場合を順序よく整理して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漢字の広場⑤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表現を選ぶ</v>
      </c>
      <c r="J9" s="87" t="str">
        <f t="shared" ref="J9:K12" si="6">LOOKUP(J26,$X$2:$Y$43,$Y$2:$Y$43)</f>
        <v>現</v>
      </c>
      <c r="K9" s="98" t="str">
        <f t="shared" si="6"/>
        <v>算　数</v>
      </c>
      <c r="L9" s="87" t="str">
        <f>LOOKUP(L26,$S$2:$T$69,$T$2:$T$69)</f>
        <v>場合を順序よく整理して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天地の文</v>
      </c>
      <c r="P9" s="87" t="str">
        <f>LOOKUP(P26,$X$2:$Y$43,$Y$2:$Y$43)</f>
        <v>現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古典の世界（二）（小5）</v>
      </c>
      <c r="D10" s="101" t="str">
        <f t="shared" si="4"/>
        <v>ス</v>
      </c>
      <c r="E10" s="100" t="str">
        <f t="shared" si="4"/>
        <v>国　語</v>
      </c>
      <c r="F10" s="101" t="str">
        <f>LOOKUP(F27,$S$2:$T$69,$T$2:$T$69)</f>
        <v>表現を選ぶ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学習用具・教科用語</v>
      </c>
      <c r="J10" s="101" t="str">
        <f t="shared" si="6"/>
        <v>ス</v>
      </c>
      <c r="K10" s="100" t="str">
        <f t="shared" si="6"/>
        <v>国　語</v>
      </c>
      <c r="L10" s="101" t="str">
        <f>LOOKUP(L27,$S$2:$T$69,$T$2:$T$69)</f>
        <v>表現を選ぶ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国　語</v>
      </c>
      <c r="F11" s="101" t="str">
        <f>LOOKUP(F28,$S$2:$T$69,$T$2:$T$69)</f>
        <v>古典の世界（二）（小5）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学習用具・教科用語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195"/>
      <c r="S11" s="86">
        <v>10</v>
      </c>
      <c r="T11" s="91" t="s">
        <v>358</v>
      </c>
      <c r="U11" s="88">
        <f>COUNTIF(C21:O34,"=10")</f>
        <v>2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順々に調べて（小5）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順々に調べて（小5）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順々に調べて（小5）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95"/>
      <c r="S12" s="94">
        <v>11</v>
      </c>
      <c r="T12" s="95" t="s">
        <v>359</v>
      </c>
      <c r="U12" s="93">
        <f>COUNTIF(C21:O34,"=11")</f>
        <v>2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 t="s">
        <v>360</v>
      </c>
      <c r="U13" s="93">
        <f>COUNTIF(C21:O34,"=12")</f>
        <v>2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天地の文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天地の文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順々に調べて（小5）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6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17</v>
      </c>
      <c r="V18" s="195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361</v>
      </c>
      <c r="U19" s="88">
        <f>COUNTIF(C21:O34,"=22")</f>
        <v>5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/>
      <c r="U20" s="93">
        <f>COUNTIF(C21:O34,"=23")</f>
        <v>0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214</v>
      </c>
      <c r="O21" s="114">
        <v>22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223</v>
      </c>
      <c r="L22" s="117">
        <v>35</v>
      </c>
      <c r="M22" s="118">
        <v>50</v>
      </c>
      <c r="N22" s="116" t="s">
        <v>220</v>
      </c>
      <c r="O22" s="117">
        <v>40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211</v>
      </c>
      <c r="F23" s="117">
        <v>10</v>
      </c>
      <c r="G23" s="119">
        <v>51</v>
      </c>
      <c r="H23" s="116" t="s">
        <v>211</v>
      </c>
      <c r="I23" s="117">
        <v>10</v>
      </c>
      <c r="J23" s="119">
        <v>51</v>
      </c>
      <c r="K23" s="116" t="s">
        <v>211</v>
      </c>
      <c r="L23" s="117">
        <v>11</v>
      </c>
      <c r="M23" s="119">
        <v>51</v>
      </c>
      <c r="N23" s="116" t="s">
        <v>211</v>
      </c>
      <c r="O23" s="117">
        <v>11</v>
      </c>
      <c r="P23" s="119">
        <v>51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95"/>
      <c r="S24" s="86">
        <v>27</v>
      </c>
      <c r="T24" s="91" t="s">
        <v>362</v>
      </c>
      <c r="U24" s="88">
        <f>COUNTIF(C21:O34,"=27")</f>
        <v>7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/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214</v>
      </c>
      <c r="C26" s="114">
        <v>22</v>
      </c>
      <c r="D26" s="115">
        <v>50</v>
      </c>
      <c r="E26" s="113" t="s">
        <v>211</v>
      </c>
      <c r="F26" s="114">
        <v>2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214</v>
      </c>
      <c r="L26" s="114">
        <v>22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195"/>
      <c r="S26" s="94">
        <v>29</v>
      </c>
      <c r="T26" s="95"/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12</v>
      </c>
      <c r="D27" s="119">
        <v>51</v>
      </c>
      <c r="E27" s="116" t="s">
        <v>211</v>
      </c>
      <c r="F27" s="117">
        <v>3</v>
      </c>
      <c r="G27" s="118">
        <v>50</v>
      </c>
      <c r="H27" s="116" t="s">
        <v>220</v>
      </c>
      <c r="I27" s="117">
        <v>44</v>
      </c>
      <c r="J27" s="119">
        <v>51</v>
      </c>
      <c r="K27" s="116" t="s">
        <v>211</v>
      </c>
      <c r="L27" s="117">
        <v>3</v>
      </c>
      <c r="M27" s="118">
        <v>50</v>
      </c>
      <c r="N27" s="116" t="s">
        <v>230</v>
      </c>
      <c r="O27" s="117">
        <v>47</v>
      </c>
      <c r="P27" s="119">
        <v>51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211</v>
      </c>
      <c r="F28" s="117">
        <v>12</v>
      </c>
      <c r="G28" s="119">
        <v>51</v>
      </c>
      <c r="H28" s="116" t="s">
        <v>223</v>
      </c>
      <c r="I28" s="117">
        <v>39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16" t="s">
        <v>214</v>
      </c>
      <c r="F29" s="117">
        <v>27</v>
      </c>
      <c r="G29" s="119">
        <v>51</v>
      </c>
      <c r="H29" s="116" t="s">
        <v>214</v>
      </c>
      <c r="I29" s="117">
        <v>27</v>
      </c>
      <c r="J29" s="119">
        <v>51</v>
      </c>
      <c r="K29" s="116" t="s">
        <v>214</v>
      </c>
      <c r="L29" s="117">
        <v>27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211</v>
      </c>
      <c r="F31" s="114">
        <v>4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7</v>
      </c>
      <c r="V31" s="19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27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12</v>
      </c>
      <c r="V32" s="19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363</v>
      </c>
      <c r="U33" s="88">
        <f>COUNTIF(C21:O34,"=35")</f>
        <v>2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03" t="s">
        <v>90</v>
      </c>
      <c r="D39" s="202"/>
      <c r="E39" s="202"/>
      <c r="F39" s="203" t="s">
        <v>70</v>
      </c>
      <c r="G39" s="202"/>
      <c r="H39" s="202"/>
      <c r="I39" s="203" t="s">
        <v>146</v>
      </c>
      <c r="J39" s="204"/>
      <c r="K39" s="204"/>
      <c r="L39" s="203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364</v>
      </c>
      <c r="U39" s="88">
        <f>COUNTIF(C21:O34,"=40")</f>
        <v>1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188</v>
      </c>
      <c r="D40" s="207"/>
      <c r="E40" s="207"/>
      <c r="F40" s="206" t="s">
        <v>93</v>
      </c>
      <c r="G40" s="207"/>
      <c r="H40" s="207"/>
      <c r="I40" s="206" t="s">
        <v>128</v>
      </c>
      <c r="J40" s="208"/>
      <c r="K40" s="208"/>
      <c r="L40" s="206" t="s">
        <v>175</v>
      </c>
      <c r="M40" s="207"/>
      <c r="N40" s="207"/>
      <c r="O40" s="134" t="s">
        <v>259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96</v>
      </c>
      <c r="D41" s="207"/>
      <c r="E41" s="207"/>
      <c r="F41" s="206" t="s">
        <v>97</v>
      </c>
      <c r="G41" s="207"/>
      <c r="H41" s="207"/>
      <c r="I41" s="206" t="s">
        <v>130</v>
      </c>
      <c r="J41" s="208"/>
      <c r="K41" s="208"/>
      <c r="L41" s="206" t="s">
        <v>132</v>
      </c>
      <c r="M41" s="207"/>
      <c r="N41" s="207"/>
      <c r="O41" s="134" t="s">
        <v>313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100</v>
      </c>
      <c r="D42" s="207"/>
      <c r="E42" s="207"/>
      <c r="F42" s="206" t="s">
        <v>101</v>
      </c>
      <c r="G42" s="207"/>
      <c r="H42" s="207"/>
      <c r="I42" s="206" t="s">
        <v>132</v>
      </c>
      <c r="J42" s="208"/>
      <c r="K42" s="208"/>
      <c r="L42" s="206" t="s">
        <v>314</v>
      </c>
      <c r="M42" s="207"/>
      <c r="N42" s="207"/>
      <c r="O42" s="134" t="s">
        <v>315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2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4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4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2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2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2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2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9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defaultGridColor="0" topLeftCell="A16" colorId="22" zoomScale="92" zoomScaleNormal="92" workbookViewId="0">
      <selection activeCell="E38" sqref="E38"/>
    </sheetView>
  </sheetViews>
  <sheetFormatPr defaultColWidth="10.85546875" defaultRowHeight="11.65" customHeight="1" x14ac:dyDescent="0.15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 x14ac:dyDescent="0.15">
      <c r="D1" s="2"/>
      <c r="E1" s="2"/>
      <c r="F1" s="2"/>
      <c r="G1" s="2"/>
      <c r="H1" s="2"/>
    </row>
    <row r="2" spans="2:8" ht="18.600000000000001" customHeight="1" x14ac:dyDescent="0.2">
      <c r="B2" s="3" t="s">
        <v>0</v>
      </c>
      <c r="D2" s="2"/>
      <c r="E2" s="2"/>
      <c r="F2" s="2"/>
      <c r="G2" s="2"/>
      <c r="H2" s="2"/>
    </row>
    <row r="3" spans="2:8" ht="12.75" x14ac:dyDescent="0.15">
      <c r="D3" s="2"/>
      <c r="E3" s="2"/>
      <c r="F3" s="2"/>
      <c r="G3" s="2"/>
      <c r="H3" s="2"/>
    </row>
    <row r="4" spans="2:8" ht="23.65" customHeight="1" x14ac:dyDescent="0.25">
      <c r="B4" s="4" t="s">
        <v>1</v>
      </c>
      <c r="D4" s="2"/>
      <c r="E4" s="2"/>
      <c r="F4" s="2"/>
      <c r="G4" s="2"/>
      <c r="H4" s="2"/>
    </row>
    <row r="5" spans="2:8" ht="42" x14ac:dyDescent="0.4">
      <c r="B5" s="5"/>
      <c r="D5" s="2"/>
      <c r="E5" s="2"/>
      <c r="F5" s="2"/>
      <c r="G5" s="2"/>
      <c r="H5" s="2"/>
    </row>
    <row r="6" spans="2:8" ht="21.6" customHeight="1" x14ac:dyDescent="0.25">
      <c r="B6" s="6" t="s">
        <v>2</v>
      </c>
      <c r="D6" s="2"/>
      <c r="E6" s="2"/>
      <c r="F6" s="2"/>
      <c r="G6" s="2"/>
      <c r="H6" s="2"/>
    </row>
    <row r="7" spans="2:8" ht="12.75" x14ac:dyDescent="0.15">
      <c r="D7" s="2"/>
      <c r="E7" s="2"/>
      <c r="F7" s="2"/>
      <c r="G7" s="2"/>
      <c r="H7" s="2"/>
    </row>
    <row r="8" spans="2:8" ht="14.65" customHeight="1" x14ac:dyDescent="0.15">
      <c r="B8" s="7"/>
      <c r="C8" s="7"/>
      <c r="D8" s="172" t="s">
        <v>3</v>
      </c>
      <c r="E8" s="173"/>
      <c r="F8" s="173"/>
      <c r="G8" s="173"/>
      <c r="H8" s="9"/>
    </row>
    <row r="9" spans="2:8" ht="14.65" customHeight="1" x14ac:dyDescent="0.15">
      <c r="B9" s="172" t="s">
        <v>4</v>
      </c>
      <c r="C9" s="174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 x14ac:dyDescent="0.15">
      <c r="B10" s="172" t="s">
        <v>9</v>
      </c>
      <c r="C10" s="175"/>
      <c r="D10" s="10"/>
      <c r="E10" s="10"/>
      <c r="F10" s="10"/>
      <c r="G10" s="10"/>
      <c r="H10" s="9"/>
    </row>
    <row r="11" spans="2:8" ht="14.65" customHeight="1" x14ac:dyDescent="0.15">
      <c r="B11" s="176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 x14ac:dyDescent="0.15">
      <c r="B12" s="177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 x14ac:dyDescent="0.15">
      <c r="B13" s="177"/>
      <c r="C13" s="16" t="s">
        <v>17</v>
      </c>
      <c r="D13" s="17" t="s">
        <v>18</v>
      </c>
      <c r="E13" s="17" t="s">
        <v>12</v>
      </c>
      <c r="F13" s="17" t="s">
        <v>13</v>
      </c>
      <c r="G13" s="17" t="s">
        <v>20</v>
      </c>
      <c r="H13" s="9"/>
    </row>
    <row r="14" spans="2:8" ht="14.65" customHeight="1" x14ac:dyDescent="0.15">
      <c r="B14" s="177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 x14ac:dyDescent="0.15">
      <c r="B15" s="178" t="s">
        <v>24</v>
      </c>
      <c r="C15" s="175"/>
      <c r="D15" s="174"/>
      <c r="E15" s="174"/>
      <c r="F15" s="174"/>
      <c r="G15" s="174"/>
      <c r="H15" s="9"/>
    </row>
    <row r="16" spans="2:8" ht="14.65" customHeight="1" x14ac:dyDescent="0.15">
      <c r="B16" s="176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 x14ac:dyDescent="0.15">
      <c r="B17" s="177"/>
      <c r="C17" s="16" t="s">
        <v>27</v>
      </c>
      <c r="D17" s="17" t="s">
        <v>18</v>
      </c>
      <c r="E17" s="17" t="s">
        <v>12</v>
      </c>
      <c r="F17" s="17" t="s">
        <v>13</v>
      </c>
      <c r="G17" s="17" t="s">
        <v>20</v>
      </c>
      <c r="H17" s="9"/>
    </row>
    <row r="18" spans="2:8" ht="14.65" customHeight="1" x14ac:dyDescent="0.15">
      <c r="B18" s="177"/>
      <c r="C18" s="16" t="s">
        <v>28</v>
      </c>
      <c r="D18" s="17" t="s">
        <v>18</v>
      </c>
      <c r="E18" s="17" t="s">
        <v>12</v>
      </c>
      <c r="F18" s="17" t="s">
        <v>13</v>
      </c>
      <c r="G18" s="17" t="s">
        <v>20</v>
      </c>
      <c r="H18" s="9"/>
    </row>
    <row r="19" spans="2:8" ht="14.65" customHeight="1" x14ac:dyDescent="0.15">
      <c r="B19" s="177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 x14ac:dyDescent="0.15">
      <c r="B20" s="178" t="s">
        <v>24</v>
      </c>
      <c r="C20" s="175"/>
      <c r="D20" s="174"/>
      <c r="E20" s="174"/>
      <c r="F20" s="174"/>
      <c r="G20" s="174"/>
      <c r="H20" s="9"/>
    </row>
    <row r="21" spans="2:8" ht="14.65" customHeight="1" x14ac:dyDescent="0.15">
      <c r="B21" s="176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 x14ac:dyDescent="0.15">
      <c r="B22" s="177"/>
      <c r="C22" s="16" t="s">
        <v>32</v>
      </c>
      <c r="D22" s="17" t="s">
        <v>18</v>
      </c>
      <c r="E22" s="17" t="s">
        <v>12</v>
      </c>
      <c r="F22" s="17" t="s">
        <v>13</v>
      </c>
      <c r="G22" s="17" t="s">
        <v>20</v>
      </c>
      <c r="H22" s="9"/>
    </row>
    <row r="23" spans="2:8" ht="14.65" customHeight="1" x14ac:dyDescent="0.15">
      <c r="B23" s="177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 x14ac:dyDescent="0.15">
      <c r="B24" s="18"/>
      <c r="C24" s="18"/>
      <c r="D24" s="19"/>
      <c r="E24" s="18"/>
      <c r="F24" s="18"/>
      <c r="G24" s="18"/>
    </row>
    <row r="25" spans="2:8" ht="7.9" customHeight="1" x14ac:dyDescent="0.15">
      <c r="B25" s="20"/>
      <c r="C25" s="21"/>
      <c r="D25" s="22"/>
      <c r="E25" s="21"/>
      <c r="F25" s="21"/>
      <c r="G25" s="21"/>
      <c r="H25" s="23"/>
    </row>
    <row r="26" spans="2:8" ht="14.65" customHeight="1" x14ac:dyDescent="0.15">
      <c r="B26" s="179" t="s">
        <v>34</v>
      </c>
      <c r="C26" s="180"/>
      <c r="D26" s="181"/>
      <c r="E26" s="180"/>
      <c r="F26" s="180"/>
      <c r="G26" s="180"/>
      <c r="H26" s="23"/>
    </row>
    <row r="27" spans="2:8" ht="14.65" customHeight="1" x14ac:dyDescent="0.15">
      <c r="B27" s="182" t="s">
        <v>35</v>
      </c>
      <c r="C27" s="183"/>
      <c r="D27" s="184"/>
      <c r="E27" s="183"/>
      <c r="F27" s="183"/>
      <c r="G27" s="183"/>
      <c r="H27" s="23"/>
    </row>
    <row r="28" spans="2:8" ht="8.85" customHeight="1" x14ac:dyDescent="0.15">
      <c r="B28" s="26"/>
      <c r="C28" s="27"/>
      <c r="D28" s="28"/>
      <c r="E28" s="27"/>
      <c r="F28" s="27"/>
      <c r="G28" s="27"/>
      <c r="H28" s="23"/>
    </row>
    <row r="29" spans="2:8" ht="14.65" customHeight="1" x14ac:dyDescent="0.15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 x14ac:dyDescent="0.15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 x14ac:dyDescent="0.15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 x14ac:dyDescent="0.15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 x14ac:dyDescent="0.15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 x14ac:dyDescent="0.15">
      <c r="B34" s="23"/>
      <c r="D34" s="25"/>
      <c r="H34" s="23"/>
    </row>
    <row r="35" spans="1:8" ht="12.75" x14ac:dyDescent="0.15">
      <c r="B35" s="21"/>
      <c r="C35" s="21"/>
      <c r="D35" s="22"/>
      <c r="E35" s="21"/>
      <c r="F35" s="21"/>
      <c r="G35" s="21"/>
    </row>
    <row r="36" spans="1:8" ht="15.6" customHeight="1" x14ac:dyDescent="0.2">
      <c r="A36" s="29"/>
      <c r="B36" s="71" t="s">
        <v>167</v>
      </c>
      <c r="D36" s="25"/>
    </row>
    <row r="37" spans="1:8" ht="13.5" customHeight="1" x14ac:dyDescent="0.15">
      <c r="B37" s="39" t="s">
        <v>68</v>
      </c>
      <c r="C37" s="72" t="s">
        <v>90</v>
      </c>
      <c r="D37" s="72" t="s">
        <v>70</v>
      </c>
      <c r="E37" s="9"/>
    </row>
    <row r="38" spans="1:8" ht="13.5" customHeight="1" x14ac:dyDescent="0.15">
      <c r="B38" s="41" t="s">
        <v>71</v>
      </c>
      <c r="C38" s="67" t="s">
        <v>72</v>
      </c>
      <c r="D38" s="67" t="s">
        <v>73</v>
      </c>
      <c r="E38" s="9"/>
    </row>
    <row r="39" spans="1:8" ht="13.5" customHeight="1" x14ac:dyDescent="0.15">
      <c r="B39" s="66" t="s">
        <v>74</v>
      </c>
      <c r="C39" s="73" t="s">
        <v>75</v>
      </c>
      <c r="D39" s="73" t="s">
        <v>76</v>
      </c>
      <c r="E39" s="9"/>
    </row>
    <row r="40" spans="1:8" ht="13.5" customHeight="1" x14ac:dyDescent="0.15">
      <c r="B40" s="66" t="s">
        <v>77</v>
      </c>
      <c r="C40" s="73" t="s">
        <v>78</v>
      </c>
      <c r="D40" s="73" t="s">
        <v>79</v>
      </c>
      <c r="E40" s="9"/>
    </row>
    <row r="41" spans="1:8" ht="5.65" customHeight="1" x14ac:dyDescent="0.15">
      <c r="B41" s="18"/>
      <c r="C41" s="18"/>
      <c r="D41" s="19"/>
    </row>
    <row r="42" spans="1:8" ht="15.6" customHeight="1" x14ac:dyDescent="0.2">
      <c r="A42" s="43"/>
      <c r="B42" s="74" t="s">
        <v>168</v>
      </c>
      <c r="D42" s="25"/>
    </row>
    <row r="43" spans="1:8" ht="13.5" customHeight="1" x14ac:dyDescent="0.15">
      <c r="B43" s="39" t="s">
        <v>68</v>
      </c>
      <c r="C43" s="75" t="s">
        <v>90</v>
      </c>
      <c r="D43" s="75" t="s">
        <v>70</v>
      </c>
      <c r="E43" s="75" t="s">
        <v>91</v>
      </c>
      <c r="F43" s="9"/>
    </row>
    <row r="44" spans="1:8" ht="13.5" customHeight="1" x14ac:dyDescent="0.15">
      <c r="B44" s="41" t="s">
        <v>71</v>
      </c>
      <c r="C44" s="67" t="s">
        <v>169</v>
      </c>
      <c r="D44" s="67" t="s">
        <v>170</v>
      </c>
      <c r="E44" s="67" t="s">
        <v>154</v>
      </c>
      <c r="F44" s="9"/>
    </row>
    <row r="45" spans="1:8" ht="13.5" customHeight="1" x14ac:dyDescent="0.15">
      <c r="B45" s="66" t="s">
        <v>74</v>
      </c>
      <c r="C45" s="73" t="s">
        <v>171</v>
      </c>
      <c r="D45" s="73" t="s">
        <v>94</v>
      </c>
      <c r="E45" s="73" t="s">
        <v>172</v>
      </c>
      <c r="F45" s="9"/>
    </row>
    <row r="46" spans="1:8" ht="13.5" customHeight="1" x14ac:dyDescent="0.15">
      <c r="B46" s="66" t="s">
        <v>77</v>
      </c>
      <c r="C46" s="73" t="s">
        <v>173</v>
      </c>
      <c r="D46" s="73" t="s">
        <v>174</v>
      </c>
      <c r="E46" s="73" t="s">
        <v>175</v>
      </c>
      <c r="F46" s="9"/>
    </row>
    <row r="47" spans="1:8" ht="5.65" customHeight="1" x14ac:dyDescent="0.15">
      <c r="B47" s="18"/>
      <c r="C47" s="18"/>
      <c r="D47" s="19"/>
      <c r="E47" s="18"/>
    </row>
    <row r="48" spans="1:8" ht="15.6" customHeight="1" x14ac:dyDescent="0.2">
      <c r="A48" s="51"/>
      <c r="B48" s="76" t="s">
        <v>176</v>
      </c>
      <c r="D48" s="25"/>
    </row>
    <row r="49" spans="1:8" ht="13.5" customHeight="1" x14ac:dyDescent="0.15">
      <c r="B49" s="39" t="s">
        <v>68</v>
      </c>
      <c r="C49" s="77" t="s">
        <v>90</v>
      </c>
      <c r="D49" s="77" t="s">
        <v>70</v>
      </c>
      <c r="E49" s="77" t="s">
        <v>91</v>
      </c>
      <c r="F49" s="9"/>
    </row>
    <row r="50" spans="1:8" ht="13.5" customHeight="1" x14ac:dyDescent="0.15">
      <c r="B50" s="41" t="s">
        <v>71</v>
      </c>
      <c r="C50" s="67" t="s">
        <v>177</v>
      </c>
      <c r="D50" s="67" t="s">
        <v>178</v>
      </c>
      <c r="E50" s="67" t="s">
        <v>132</v>
      </c>
      <c r="F50" s="9"/>
    </row>
    <row r="51" spans="1:8" ht="13.5" customHeight="1" x14ac:dyDescent="0.15">
      <c r="B51" s="66" t="s">
        <v>74</v>
      </c>
      <c r="C51" s="73" t="s">
        <v>179</v>
      </c>
      <c r="D51" s="73" t="s">
        <v>180</v>
      </c>
      <c r="E51" s="73" t="s">
        <v>136</v>
      </c>
      <c r="F51" s="9"/>
    </row>
    <row r="52" spans="1:8" ht="13.5" customHeight="1" x14ac:dyDescent="0.15">
      <c r="B52" s="66" t="s">
        <v>77</v>
      </c>
      <c r="C52" s="73" t="s">
        <v>181</v>
      </c>
      <c r="D52" s="73" t="s">
        <v>179</v>
      </c>
      <c r="E52" s="73" t="s">
        <v>162</v>
      </c>
      <c r="F52" s="9"/>
    </row>
    <row r="53" spans="1:8" ht="5.65" customHeight="1" x14ac:dyDescent="0.15">
      <c r="B53" s="18"/>
      <c r="C53" s="18"/>
      <c r="D53" s="19"/>
      <c r="E53" s="18"/>
    </row>
    <row r="54" spans="1:8" ht="15.6" customHeight="1" x14ac:dyDescent="0.2">
      <c r="A54" s="55"/>
      <c r="B54" s="78" t="s">
        <v>182</v>
      </c>
      <c r="D54" s="25"/>
    </row>
    <row r="55" spans="1:8" ht="13.5" customHeight="1" x14ac:dyDescent="0.15">
      <c r="B55" s="39" t="s">
        <v>68</v>
      </c>
      <c r="C55" s="79" t="s">
        <v>90</v>
      </c>
      <c r="D55" s="79" t="s">
        <v>70</v>
      </c>
      <c r="E55" s="79" t="s">
        <v>91</v>
      </c>
      <c r="F55" s="9"/>
    </row>
    <row r="56" spans="1:8" ht="13.5" customHeight="1" x14ac:dyDescent="0.15">
      <c r="B56" s="41" t="s">
        <v>71</v>
      </c>
      <c r="C56" s="67" t="s">
        <v>183</v>
      </c>
      <c r="D56" s="67" t="s">
        <v>184</v>
      </c>
      <c r="E56" s="67" t="s">
        <v>136</v>
      </c>
      <c r="F56" s="9"/>
    </row>
    <row r="57" spans="1:8" ht="13.5" customHeight="1" x14ac:dyDescent="0.15">
      <c r="B57" s="66" t="s">
        <v>74</v>
      </c>
      <c r="C57" s="73" t="s">
        <v>140</v>
      </c>
      <c r="D57" s="73" t="s">
        <v>185</v>
      </c>
      <c r="E57" s="73" t="s">
        <v>130</v>
      </c>
      <c r="F57" s="9"/>
    </row>
    <row r="58" spans="1:8" ht="13.5" customHeight="1" x14ac:dyDescent="0.15">
      <c r="B58" s="66" t="s">
        <v>77</v>
      </c>
      <c r="C58" s="73" t="s">
        <v>186</v>
      </c>
      <c r="D58" s="73" t="s">
        <v>140</v>
      </c>
      <c r="E58" s="73" t="s">
        <v>116</v>
      </c>
      <c r="F58" s="9"/>
    </row>
    <row r="59" spans="1:8" ht="5.65" customHeight="1" x14ac:dyDescent="0.15">
      <c r="B59" s="18"/>
      <c r="C59" s="18"/>
      <c r="D59" s="19"/>
      <c r="E59" s="18"/>
    </row>
    <row r="60" spans="1:8" ht="15.6" customHeight="1" x14ac:dyDescent="0.2">
      <c r="A60" s="60"/>
      <c r="B60" s="80" t="s">
        <v>187</v>
      </c>
      <c r="D60" s="25"/>
    </row>
    <row r="61" spans="1:8" ht="13.5" customHeight="1" x14ac:dyDescent="0.15">
      <c r="B61" s="39" t="s">
        <v>68</v>
      </c>
      <c r="C61" s="75" t="s">
        <v>90</v>
      </c>
      <c r="D61" s="75" t="s">
        <v>70</v>
      </c>
      <c r="E61" s="75" t="s">
        <v>125</v>
      </c>
      <c r="F61" s="75" t="s">
        <v>126</v>
      </c>
      <c r="G61" s="75" t="s">
        <v>127</v>
      </c>
      <c r="H61" s="9"/>
    </row>
    <row r="62" spans="1:8" ht="13.5" customHeight="1" x14ac:dyDescent="0.15">
      <c r="B62" s="41" t="s">
        <v>71</v>
      </c>
      <c r="C62" s="67" t="s">
        <v>188</v>
      </c>
      <c r="D62" s="67" t="s">
        <v>93</v>
      </c>
      <c r="E62" s="67" t="s">
        <v>128</v>
      </c>
      <c r="F62" s="67" t="s">
        <v>128</v>
      </c>
      <c r="G62" s="67" t="s">
        <v>128</v>
      </c>
      <c r="H62" s="9"/>
    </row>
    <row r="63" spans="1:8" ht="13.5" customHeight="1" x14ac:dyDescent="0.15">
      <c r="B63" s="66" t="s">
        <v>74</v>
      </c>
      <c r="C63" s="73" t="s">
        <v>96</v>
      </c>
      <c r="D63" s="73" t="s">
        <v>97</v>
      </c>
      <c r="E63" s="73" t="s">
        <v>130</v>
      </c>
      <c r="F63" s="73" t="s">
        <v>130</v>
      </c>
      <c r="G63" s="73" t="s">
        <v>130</v>
      </c>
      <c r="H63" s="9"/>
    </row>
    <row r="64" spans="1:8" ht="13.5" customHeight="1" x14ac:dyDescent="0.15">
      <c r="B64" s="66" t="s">
        <v>77</v>
      </c>
      <c r="C64" s="73" t="s">
        <v>100</v>
      </c>
      <c r="D64" s="73" t="s">
        <v>101</v>
      </c>
      <c r="E64" s="73" t="s">
        <v>132</v>
      </c>
      <c r="F64" s="73" t="s">
        <v>132</v>
      </c>
      <c r="G64" s="73" t="s">
        <v>132</v>
      </c>
      <c r="H64" s="9"/>
    </row>
    <row r="65" spans="1:8" ht="5.65" customHeight="1" x14ac:dyDescent="0.15">
      <c r="B65" s="18"/>
      <c r="C65" s="18"/>
      <c r="D65" s="19"/>
      <c r="E65" s="18"/>
      <c r="F65" s="18"/>
      <c r="G65" s="18"/>
    </row>
    <row r="66" spans="1:8" ht="15.6" customHeight="1" x14ac:dyDescent="0.2">
      <c r="A66" s="60"/>
      <c r="B66" s="81" t="s">
        <v>189</v>
      </c>
      <c r="D66" s="25"/>
    </row>
    <row r="67" spans="1:8" ht="13.5" customHeight="1" x14ac:dyDescent="0.15">
      <c r="B67" s="39" t="s">
        <v>68</v>
      </c>
      <c r="C67" s="77" t="s">
        <v>90</v>
      </c>
      <c r="D67" s="77" t="s">
        <v>70</v>
      </c>
      <c r="E67" s="77" t="s">
        <v>125</v>
      </c>
      <c r="F67" s="77" t="s">
        <v>126</v>
      </c>
      <c r="G67" s="77" t="s">
        <v>127</v>
      </c>
      <c r="H67" s="9"/>
    </row>
    <row r="68" spans="1:8" ht="13.5" customHeight="1" x14ac:dyDescent="0.15">
      <c r="B68" s="41" t="s">
        <v>71</v>
      </c>
      <c r="C68" s="67" t="s">
        <v>105</v>
      </c>
      <c r="D68" s="67" t="s">
        <v>106</v>
      </c>
      <c r="E68" s="67" t="s">
        <v>136</v>
      </c>
      <c r="F68" s="67" t="s">
        <v>136</v>
      </c>
      <c r="G68" s="67" t="s">
        <v>136</v>
      </c>
      <c r="H68" s="9"/>
    </row>
    <row r="69" spans="1:8" ht="13.5" customHeight="1" x14ac:dyDescent="0.15">
      <c r="B69" s="66" t="s">
        <v>74</v>
      </c>
      <c r="C69" s="73" t="s">
        <v>107</v>
      </c>
      <c r="D69" s="73" t="s">
        <v>108</v>
      </c>
      <c r="E69" s="73" t="s">
        <v>130</v>
      </c>
      <c r="F69" s="73" t="s">
        <v>130</v>
      </c>
      <c r="G69" s="73" t="s">
        <v>130</v>
      </c>
      <c r="H69" s="9"/>
    </row>
    <row r="70" spans="1:8" ht="13.5" customHeight="1" x14ac:dyDescent="0.15">
      <c r="B70" s="66" t="s">
        <v>77</v>
      </c>
      <c r="C70" s="73" t="s">
        <v>109</v>
      </c>
      <c r="D70" s="73" t="s">
        <v>107</v>
      </c>
      <c r="E70" s="73" t="s">
        <v>132</v>
      </c>
      <c r="F70" s="73" t="s">
        <v>132</v>
      </c>
      <c r="G70" s="73" t="s">
        <v>132</v>
      </c>
      <c r="H70" s="9"/>
    </row>
    <row r="71" spans="1:8" ht="5.65" customHeight="1" x14ac:dyDescent="0.15">
      <c r="B71" s="49"/>
      <c r="C71" s="49"/>
      <c r="D71" s="61"/>
      <c r="E71" s="49"/>
      <c r="F71" s="18"/>
      <c r="G71" s="18"/>
    </row>
    <row r="72" spans="1:8" ht="15.6" customHeight="1" x14ac:dyDescent="0.2">
      <c r="A72" s="55"/>
      <c r="B72" s="78" t="s">
        <v>190</v>
      </c>
      <c r="D72" s="25"/>
    </row>
    <row r="73" spans="1:8" ht="13.5" customHeight="1" x14ac:dyDescent="0.15">
      <c r="B73" s="39" t="s">
        <v>68</v>
      </c>
      <c r="C73" s="79" t="s">
        <v>90</v>
      </c>
      <c r="D73" s="79" t="s">
        <v>70</v>
      </c>
      <c r="E73" s="79" t="s">
        <v>125</v>
      </c>
      <c r="F73" s="79" t="s">
        <v>126</v>
      </c>
      <c r="G73" s="79" t="s">
        <v>127</v>
      </c>
      <c r="H73" s="9"/>
    </row>
    <row r="74" spans="1:8" ht="13.5" customHeight="1" x14ac:dyDescent="0.15">
      <c r="B74" s="41" t="s">
        <v>71</v>
      </c>
      <c r="C74" s="67" t="s">
        <v>140</v>
      </c>
      <c r="D74" s="67" t="s">
        <v>114</v>
      </c>
      <c r="E74" s="67" t="s">
        <v>136</v>
      </c>
      <c r="F74" s="67" t="s">
        <v>136</v>
      </c>
      <c r="G74" s="67" t="s">
        <v>136</v>
      </c>
      <c r="H74" s="9"/>
    </row>
    <row r="75" spans="1:8" ht="13.5" customHeight="1" x14ac:dyDescent="0.15">
      <c r="B75" s="66" t="s">
        <v>74</v>
      </c>
      <c r="C75" s="73" t="s">
        <v>114</v>
      </c>
      <c r="D75" s="73" t="s">
        <v>116</v>
      </c>
      <c r="E75" s="73" t="s">
        <v>141</v>
      </c>
      <c r="F75" s="73" t="s">
        <v>141</v>
      </c>
      <c r="G75" s="73" t="s">
        <v>141</v>
      </c>
      <c r="H75" s="9"/>
    </row>
    <row r="76" spans="1:8" ht="13.5" customHeight="1" x14ac:dyDescent="0.15">
      <c r="B76" s="66" t="s">
        <v>77</v>
      </c>
      <c r="C76" s="73" t="s">
        <v>142</v>
      </c>
      <c r="D76" s="73" t="s">
        <v>115</v>
      </c>
      <c r="E76" s="73" t="s">
        <v>116</v>
      </c>
      <c r="F76" s="73" t="s">
        <v>116</v>
      </c>
      <c r="G76" s="73" t="s">
        <v>116</v>
      </c>
      <c r="H76" s="9"/>
    </row>
    <row r="77" spans="1:8" ht="12.75" x14ac:dyDescent="0.15">
      <c r="B77" s="18"/>
      <c r="C77" s="18"/>
      <c r="D77" s="18"/>
      <c r="E77" s="18"/>
      <c r="F77" s="18"/>
      <c r="G77" s="18"/>
    </row>
  </sheetData>
  <mergeCells count="10">
    <mergeCell ref="B16:B19"/>
    <mergeCell ref="B20:G20"/>
    <mergeCell ref="B21:B23"/>
    <mergeCell ref="B26:G26"/>
    <mergeCell ref="B27:G27"/>
    <mergeCell ref="D8:G8"/>
    <mergeCell ref="B9:C9"/>
    <mergeCell ref="B10:C10"/>
    <mergeCell ref="B11:B14"/>
    <mergeCell ref="B15:G15"/>
  </mergeCells>
  <phoneticPr fontId="39"/>
  <pageMargins left="0.70866099999999999" right="0.70866099999999999" top="0.59055100000000005" bottom="0.55118100000000003" header="0.39370100000000002" footer="0.44094499999999998"/>
  <pageSetup paperSize="9" pageOrder="overThenDown" orientation="landscape"/>
  <headerFooter>
    <oddHeader>&amp;L岩倉市日本語・ポルトガル語適応指導教室&amp;C&amp;R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G29" sqref="G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365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355</v>
      </c>
      <c r="U2" s="88">
        <f>COUNTIF(C21:O34,"=1")</f>
        <v>3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297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日本で使う文字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日本で使う文字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漢字の広場⑤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漢字の広場⑤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表現を選ぶ</v>
      </c>
      <c r="P4" s="87" t="str">
        <f>LOOKUP(P21,$X$2:$Y$43,$Y$2:$Y$43)</f>
        <v>現</v>
      </c>
      <c r="Q4" s="9"/>
      <c r="R4" s="195"/>
      <c r="S4" s="94">
        <v>3</v>
      </c>
      <c r="T4" s="95" t="s">
        <v>356</v>
      </c>
      <c r="U4" s="93">
        <f>COUNTIF(C21:O34,"=3")</f>
        <v>3</v>
      </c>
      <c r="V4" s="195"/>
      <c r="W4" s="9"/>
      <c r="X4" s="96" t="s">
        <v>214</v>
      </c>
      <c r="Y4" s="95" t="s">
        <v>215</v>
      </c>
      <c r="Z4" s="93">
        <f>COUNTIF(B21:P34,"=c")</f>
        <v>9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場合を順序よく整理して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日本で使う文字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場合を順序よく整理して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場合を順序よく整理して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場合を順序よく整理して</v>
      </c>
      <c r="P5" s="101" t="str">
        <f>LOOKUP(P22,$X$2:$Y$43,$Y$2:$Y$43)</f>
        <v>現</v>
      </c>
      <c r="Q5" s="9"/>
      <c r="R5" s="195"/>
      <c r="S5" s="94">
        <v>4</v>
      </c>
      <c r="T5" s="95" t="s">
        <v>357</v>
      </c>
      <c r="U5" s="93">
        <f>COUNTIF(C21:O34,"=4")</f>
        <v>3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和語・漢語・外来語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場合を順序よく整理して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てこのはたらき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わたしたちの願いを実現する政治</v>
      </c>
      <c r="P6" s="101" t="str">
        <f>LOOKUP(P23,$X$2:$Y$43,$Y$2:$Y$43)</f>
        <v>現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国　語</v>
      </c>
      <c r="F7" s="101" t="str">
        <f>LOOKUP(F24,$S$2:$T$69,$T$2:$T$69)</f>
        <v>和語・漢語・外来語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順々に調べて（小5）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順々に調べて（小5）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順々に調べて（小5）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表現を選ぶ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表現を選ぶ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天地の文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天地の文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天地の文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てこのはたらき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順々に調べて（小5）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わたしたちの願いを実現する政治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358</v>
      </c>
      <c r="U11" s="88">
        <f>COUNTIF(C21:O34,"=10")</f>
        <v>2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語彙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語彙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359</v>
      </c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 t="s">
        <v>360</v>
      </c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2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13</v>
      </c>
      <c r="V18" s="195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361</v>
      </c>
      <c r="U19" s="88">
        <f>COUNTIF(C21:O34,"=22")</f>
        <v>5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/>
      <c r="U20" s="93">
        <f>COUNTIF(C21:O34,"=23")</f>
        <v>0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214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211</v>
      </c>
      <c r="F24" s="117">
        <v>10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214</v>
      </c>
      <c r="O24" s="117">
        <v>27</v>
      </c>
      <c r="P24" s="119">
        <v>51</v>
      </c>
      <c r="Q24" s="9"/>
      <c r="R24" s="195"/>
      <c r="S24" s="86">
        <v>27</v>
      </c>
      <c r="T24" s="91" t="s">
        <v>362</v>
      </c>
      <c r="U24" s="88">
        <f>COUNTIF(C21:O34,"=27")</f>
        <v>4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/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/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16" t="s">
        <v>211</v>
      </c>
      <c r="F27" s="117">
        <v>4</v>
      </c>
      <c r="G27" s="118">
        <v>50</v>
      </c>
      <c r="H27" s="116" t="s">
        <v>230</v>
      </c>
      <c r="I27" s="117">
        <v>47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214</v>
      </c>
      <c r="F28" s="117">
        <v>27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209</v>
      </c>
      <c r="F29" s="117">
        <v>57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57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4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9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363</v>
      </c>
      <c r="U33" s="88">
        <f>COUNTIF(C21:O34,"=35")</f>
        <v>2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0" t="s">
        <v>90</v>
      </c>
      <c r="D39" s="212"/>
      <c r="E39" s="212"/>
      <c r="F39" s="210" t="s">
        <v>70</v>
      </c>
      <c r="G39" s="212"/>
      <c r="H39" s="212"/>
      <c r="I39" s="210" t="s">
        <v>146</v>
      </c>
      <c r="J39" s="204"/>
      <c r="K39" s="204"/>
      <c r="L39" s="210" t="s">
        <v>311</v>
      </c>
      <c r="M39" s="212"/>
      <c r="N39" s="202"/>
      <c r="O39" s="133" t="s">
        <v>257</v>
      </c>
      <c r="P39" s="9"/>
      <c r="R39" s="194" t="s">
        <v>258</v>
      </c>
      <c r="S39" s="128">
        <v>40</v>
      </c>
      <c r="T39" s="91" t="s">
        <v>364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105</v>
      </c>
      <c r="D40" s="213"/>
      <c r="E40" s="213"/>
      <c r="F40" s="206" t="s">
        <v>106</v>
      </c>
      <c r="G40" s="207"/>
      <c r="H40" s="207"/>
      <c r="I40" s="206" t="s">
        <v>136</v>
      </c>
      <c r="J40" s="208"/>
      <c r="K40" s="208"/>
      <c r="L40" s="206" t="s">
        <v>108</v>
      </c>
      <c r="M40" s="213"/>
      <c r="N40" s="207"/>
      <c r="O40" s="134" t="s">
        <v>317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107</v>
      </c>
      <c r="D41" s="213"/>
      <c r="E41" s="213"/>
      <c r="F41" s="206" t="s">
        <v>108</v>
      </c>
      <c r="G41" s="207"/>
      <c r="H41" s="207"/>
      <c r="I41" s="206" t="s">
        <v>130</v>
      </c>
      <c r="J41" s="208"/>
      <c r="K41" s="208"/>
      <c r="L41" s="206" t="s">
        <v>132</v>
      </c>
      <c r="M41" s="213"/>
      <c r="N41" s="207"/>
      <c r="O41" s="134" t="s">
        <v>278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109</v>
      </c>
      <c r="D42" s="213"/>
      <c r="E42" s="213"/>
      <c r="F42" s="206" t="s">
        <v>107</v>
      </c>
      <c r="G42" s="207"/>
      <c r="H42" s="207"/>
      <c r="I42" s="206" t="s">
        <v>132</v>
      </c>
      <c r="J42" s="208"/>
      <c r="K42" s="208"/>
      <c r="L42" s="206" t="s">
        <v>318</v>
      </c>
      <c r="M42" s="213"/>
      <c r="N42" s="207"/>
      <c r="O42" s="134" t="s">
        <v>319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2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2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5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B1" sqref="B1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366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355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297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日本で使う文字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漢字の広場⑤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漢字の広場⑤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表現を選ぶ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天地の文</v>
      </c>
      <c r="P4" s="87" t="str">
        <f>LOOKUP(P21,$X$2:$Y$43,$Y$2:$Y$43)</f>
        <v>現</v>
      </c>
      <c r="Q4" s="9"/>
      <c r="R4" s="195"/>
      <c r="S4" s="94">
        <v>3</v>
      </c>
      <c r="T4" s="95" t="s">
        <v>356</v>
      </c>
      <c r="U4" s="93">
        <f>COUNTIF(C21:O34,"=3")</f>
        <v>1</v>
      </c>
      <c r="V4" s="19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日本で使う文字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場合を順序よく整理して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場合を順序よく整理して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場合を順序よく整理して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場合を順序よく整理して</v>
      </c>
      <c r="P5" s="101" t="str">
        <f>LOOKUP(P22,$X$2:$Y$43,$Y$2:$Y$43)</f>
        <v>現</v>
      </c>
      <c r="Q5" s="9"/>
      <c r="R5" s="195"/>
      <c r="S5" s="94">
        <v>4</v>
      </c>
      <c r="T5" s="95" t="s">
        <v>357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場合を順序よく整理して</v>
      </c>
      <c r="D6" s="101" t="str">
        <f t="shared" si="0"/>
        <v>現</v>
      </c>
      <c r="E6" s="100" t="str">
        <f t="shared" si="0"/>
        <v>社　会</v>
      </c>
      <c r="F6" s="101" t="str">
        <f>LOOKUP(F23,$S$2:$T$69,$T$2:$T$69)</f>
        <v>わたしたちの願いを実現する政治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てこのはたらき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てこのはたらき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わたしたちの願いを実現する政治</v>
      </c>
      <c r="P6" s="101" t="str">
        <f>LOOKUP(P23,$X$2:$Y$43,$Y$2:$Y$43)</f>
        <v>現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順々に調べて（小5）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日本の文化</v>
      </c>
      <c r="M7" s="101" t="str">
        <f t="shared" si="3"/>
        <v>ス</v>
      </c>
      <c r="N7" s="100" t="str">
        <f t="shared" si="3"/>
        <v>図　工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天地の文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家庭科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7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学習用具・教科用語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358</v>
      </c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359</v>
      </c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 t="s">
        <v>360</v>
      </c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0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7</v>
      </c>
      <c r="V18" s="195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361</v>
      </c>
      <c r="U19" s="88">
        <f>COUNTIF(C21:O34,"=22")</f>
        <v>5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/>
      <c r="U20" s="93">
        <f>COUNTIF(C21:O34,"=23")</f>
        <v>0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223</v>
      </c>
      <c r="F23" s="117">
        <v>35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53</v>
      </c>
      <c r="M24" s="119">
        <v>51</v>
      </c>
      <c r="N24" s="116" t="s">
        <v>225</v>
      </c>
      <c r="O24" s="117">
        <v>47</v>
      </c>
      <c r="P24" s="119">
        <v>51</v>
      </c>
      <c r="Q24" s="9"/>
      <c r="R24" s="195"/>
      <c r="S24" s="86">
        <v>27</v>
      </c>
      <c r="T24" s="91" t="s">
        <v>362</v>
      </c>
      <c r="U24" s="88">
        <f>COUNTIF(C21:O34,"=27")</f>
        <v>1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/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/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230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39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1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6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363</v>
      </c>
      <c r="U33" s="88">
        <f>COUNTIF(C21:O34,"=35")</f>
        <v>2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1" t="s">
        <v>90</v>
      </c>
      <c r="D39" s="202"/>
      <c r="E39" s="202"/>
      <c r="F39" s="211" t="s">
        <v>70</v>
      </c>
      <c r="G39" s="202"/>
      <c r="H39" s="202"/>
      <c r="I39" s="211" t="s">
        <v>146</v>
      </c>
      <c r="J39" s="204"/>
      <c r="K39" s="204"/>
      <c r="L39" s="211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364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140</v>
      </c>
      <c r="D40" s="207"/>
      <c r="E40" s="207"/>
      <c r="F40" s="206" t="s">
        <v>114</v>
      </c>
      <c r="G40" s="207"/>
      <c r="H40" s="207"/>
      <c r="I40" s="206" t="s">
        <v>136</v>
      </c>
      <c r="J40" s="208"/>
      <c r="K40" s="208"/>
      <c r="L40" s="206" t="s">
        <v>108</v>
      </c>
      <c r="M40" s="207"/>
      <c r="N40" s="207"/>
      <c r="O40" s="134" t="s">
        <v>281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114</v>
      </c>
      <c r="D41" s="207"/>
      <c r="E41" s="207"/>
      <c r="F41" s="206" t="s">
        <v>116</v>
      </c>
      <c r="G41" s="207"/>
      <c r="H41" s="207"/>
      <c r="I41" s="206" t="s">
        <v>141</v>
      </c>
      <c r="J41" s="208"/>
      <c r="K41" s="208"/>
      <c r="L41" s="206" t="s">
        <v>116</v>
      </c>
      <c r="M41" s="207"/>
      <c r="N41" s="207"/>
      <c r="O41" s="134" t="s">
        <v>282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142</v>
      </c>
      <c r="D42" s="207"/>
      <c r="E42" s="207"/>
      <c r="F42" s="206" t="s">
        <v>115</v>
      </c>
      <c r="G42" s="207"/>
      <c r="H42" s="207"/>
      <c r="I42" s="206" t="s">
        <v>116</v>
      </c>
      <c r="J42" s="208"/>
      <c r="K42" s="208"/>
      <c r="L42" s="206" t="s">
        <v>115</v>
      </c>
      <c r="M42" s="207"/>
      <c r="N42" s="207"/>
      <c r="O42" s="134" t="s">
        <v>283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0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2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39" sqref="C39:O4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367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368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13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369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感じたことを整理する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感じたことを整理する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鑑賞文を書く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鑑賞文を書く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>竹</v>
      </c>
      <c r="P4" s="87" t="str">
        <f>LOOKUP(P21,$X$2:$Y$43,$Y$2:$Y$43)</f>
        <v>現</v>
      </c>
      <c r="Q4" s="9"/>
      <c r="R4" s="195"/>
      <c r="S4" s="94">
        <v>3</v>
      </c>
      <c r="T4" s="95" t="s">
        <v>370</v>
      </c>
      <c r="U4" s="93">
        <f>COUNTIF(C21:O34,"=3")</f>
        <v>2</v>
      </c>
      <c r="V4" s="195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平面図形 基本の作図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北アメリカ州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平面図形 基本の作図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南アメリカ州</v>
      </c>
      <c r="M5" s="101" t="str">
        <f t="shared" si="3"/>
        <v>現</v>
      </c>
      <c r="N5" s="100" t="str">
        <f t="shared" si="3"/>
        <v>理　科</v>
      </c>
      <c r="O5" s="101" t="str">
        <f>LOOKUP(O22,$S$2:$T$69,$T$2:$T$69)</f>
        <v>力と圧力</v>
      </c>
      <c r="P5" s="101" t="str">
        <f>LOOKUP(P22,$X$2:$Y$43,$Y$2:$Y$43)</f>
        <v>現</v>
      </c>
      <c r="Q5" s="9"/>
      <c r="R5" s="195"/>
      <c r="S5" s="94">
        <v>4</v>
      </c>
      <c r="T5" s="95" t="s">
        <v>371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日本の文化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195"/>
      <c r="S6" s="94">
        <v>5</v>
      </c>
      <c r="T6" s="95" t="s">
        <v>372</v>
      </c>
      <c r="U6" s="93">
        <f>COUNTIF(C21:O34,"=5")</f>
        <v>2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三角形と四角形（小2）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三角形と四角形（小2）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円と球（小3）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95"/>
      <c r="S7" s="94">
        <v>6</v>
      </c>
      <c r="T7" s="95" t="s">
        <v>373</v>
      </c>
      <c r="U7" s="93">
        <f>COUNTIF(C21:O34,"=6")</f>
        <v>1</v>
      </c>
      <c r="V7" s="195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 t="s">
        <v>374</v>
      </c>
      <c r="U8" s="93">
        <f>COUNTIF(C21:O34,"=7")</f>
        <v>1</v>
      </c>
      <c r="V8" s="195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竹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言葉の関係を考えよう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言葉の関係を考えよう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>円とおうぎ形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桜守三代</v>
      </c>
      <c r="P9" s="87" t="str">
        <f>LOOKUP(P26,$X$2:$Y$43,$Y$2:$Y$43)</f>
        <v>現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単文・複文・重文（小5）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>円とおうぎ形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力と圧力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桜守三代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現</v>
      </c>
      <c r="Q10" s="9"/>
      <c r="R10" s="195"/>
      <c r="S10" s="88"/>
      <c r="T10" s="104" t="s">
        <v>229</v>
      </c>
      <c r="U10" s="105">
        <f>SUM(U2:U9)</f>
        <v>12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国　語</v>
      </c>
      <c r="F11" s="101" t="str">
        <f>LOOKUP(F28,$S$2:$T$69,$T$2:$T$69)</f>
        <v>文・文節（小4）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学校生活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195"/>
      <c r="S11" s="86">
        <v>10</v>
      </c>
      <c r="T11" s="91" t="s">
        <v>375</v>
      </c>
      <c r="U11" s="88">
        <f>COUNTIF(C21:O34,"=10")</f>
        <v>1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円と球（小3）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三角形（小3）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三角形（小3）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95"/>
      <c r="S12" s="94">
        <v>11</v>
      </c>
      <c r="T12" s="95" t="s">
        <v>376</v>
      </c>
      <c r="U12" s="93">
        <f>COUNTIF(C21:O34,"=11")</f>
        <v>1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本の世界を広げよう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季節のしおり　冬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円と正多角形（小5）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2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14</v>
      </c>
      <c r="V18" s="195"/>
      <c r="W18" s="9"/>
      <c r="X18" s="109">
        <v>50</v>
      </c>
      <c r="Y18" s="110" t="s">
        <v>241</v>
      </c>
      <c r="Z18" s="105">
        <f>COUNTIF(C21:P34,"=50")</f>
        <v>21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377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27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378</v>
      </c>
      <c r="U20" s="93">
        <f>COUNTIF(C21:O34,"=23")</f>
        <v>2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217</v>
      </c>
      <c r="O21" s="114">
        <v>3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223</v>
      </c>
      <c r="L22" s="117">
        <v>36</v>
      </c>
      <c r="M22" s="118">
        <v>50</v>
      </c>
      <c r="N22" s="116" t="s">
        <v>220</v>
      </c>
      <c r="O22" s="117">
        <v>40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53</v>
      </c>
      <c r="G23" s="119">
        <v>51</v>
      </c>
      <c r="H23" s="116" t="s">
        <v>223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195"/>
      <c r="S23" s="88"/>
      <c r="T23" s="104" t="s">
        <v>229</v>
      </c>
      <c r="U23" s="105">
        <f>SUM(U19:U22)</f>
        <v>4</v>
      </c>
      <c r="V23" s="19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95"/>
      <c r="S24" s="86">
        <v>27</v>
      </c>
      <c r="T24" s="91" t="s">
        <v>379</v>
      </c>
      <c r="U24" s="88">
        <f>COUNTIF(C21:O34,"=27")</f>
        <v>2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380</v>
      </c>
      <c r="U25" s="93">
        <f>COUNTIF(C21:O34,"=28")</f>
        <v>2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217</v>
      </c>
      <c r="L26" s="114">
        <v>23</v>
      </c>
      <c r="M26" s="115">
        <v>50</v>
      </c>
      <c r="N26" s="113" t="s">
        <v>211</v>
      </c>
      <c r="O26" s="114">
        <v>5</v>
      </c>
      <c r="P26" s="115">
        <v>50</v>
      </c>
      <c r="Q26" s="9"/>
      <c r="R26" s="195"/>
      <c r="S26" s="94">
        <v>29</v>
      </c>
      <c r="T26" s="95" t="s">
        <v>381</v>
      </c>
      <c r="U26" s="93">
        <f>COUNTIF(C21:O34,"=29")</f>
        <v>2</v>
      </c>
      <c r="V26" s="195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10</v>
      </c>
      <c r="D27" s="119">
        <v>51</v>
      </c>
      <c r="E27" s="116" t="s">
        <v>217</v>
      </c>
      <c r="F27" s="117">
        <v>23</v>
      </c>
      <c r="G27" s="118">
        <v>50</v>
      </c>
      <c r="H27" s="116" t="s">
        <v>220</v>
      </c>
      <c r="I27" s="117">
        <v>40</v>
      </c>
      <c r="J27" s="118">
        <v>50</v>
      </c>
      <c r="K27" s="116" t="s">
        <v>211</v>
      </c>
      <c r="L27" s="117">
        <v>5</v>
      </c>
      <c r="M27" s="118">
        <v>50</v>
      </c>
      <c r="N27" s="116" t="s">
        <v>230</v>
      </c>
      <c r="O27" s="117">
        <v>47</v>
      </c>
      <c r="P27" s="118">
        <v>50</v>
      </c>
      <c r="Q27" s="9"/>
      <c r="R27" s="195"/>
      <c r="S27" s="94">
        <v>30</v>
      </c>
      <c r="T27" s="95" t="s">
        <v>382</v>
      </c>
      <c r="U27" s="93">
        <f>COUNTIF(C21:O34,"=30")</f>
        <v>1</v>
      </c>
      <c r="V27" s="196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211</v>
      </c>
      <c r="F28" s="117">
        <v>11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209</v>
      </c>
      <c r="L28" s="117">
        <v>59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6</v>
      </c>
      <c r="D31" s="115">
        <v>50</v>
      </c>
      <c r="E31" s="113" t="s">
        <v>211</v>
      </c>
      <c r="F31" s="114">
        <v>7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7</v>
      </c>
      <c r="V31" s="19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30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11</v>
      </c>
      <c r="V32" s="19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383</v>
      </c>
      <c r="U33" s="88">
        <f>COUNTIF(C21:O34,"=35")</f>
        <v>1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 t="s">
        <v>384</v>
      </c>
      <c r="U34" s="93">
        <f>COUNTIF(C21:O34,"=36")</f>
        <v>1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03" t="s">
        <v>90</v>
      </c>
      <c r="D39" s="202"/>
      <c r="E39" s="202"/>
      <c r="F39" s="203" t="s">
        <v>385</v>
      </c>
      <c r="G39" s="214"/>
      <c r="H39" s="214"/>
      <c r="I39" s="203" t="s">
        <v>146</v>
      </c>
      <c r="J39" s="215"/>
      <c r="K39" s="215"/>
      <c r="L39" s="203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386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188</v>
      </c>
      <c r="D40" s="207"/>
      <c r="E40" s="207"/>
      <c r="F40" s="206" t="s">
        <v>93</v>
      </c>
      <c r="G40" s="207"/>
      <c r="H40" s="207"/>
      <c r="I40" s="206" t="s">
        <v>128</v>
      </c>
      <c r="J40" s="208"/>
      <c r="K40" s="208"/>
      <c r="L40" s="206" t="s">
        <v>175</v>
      </c>
      <c r="M40" s="207"/>
      <c r="N40" s="207"/>
      <c r="O40" s="134" t="s">
        <v>259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96</v>
      </c>
      <c r="D41" s="207"/>
      <c r="E41" s="207"/>
      <c r="F41" s="206" t="s">
        <v>97</v>
      </c>
      <c r="G41" s="207"/>
      <c r="H41" s="207"/>
      <c r="I41" s="206" t="s">
        <v>130</v>
      </c>
      <c r="J41" s="208"/>
      <c r="K41" s="208"/>
      <c r="L41" s="206" t="s">
        <v>132</v>
      </c>
      <c r="M41" s="207"/>
      <c r="N41" s="207"/>
      <c r="O41" s="134" t="s">
        <v>313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100</v>
      </c>
      <c r="D42" s="207"/>
      <c r="E42" s="207"/>
      <c r="F42" s="206" t="s">
        <v>101</v>
      </c>
      <c r="G42" s="207"/>
      <c r="H42" s="207"/>
      <c r="I42" s="206" t="s">
        <v>132</v>
      </c>
      <c r="J42" s="208"/>
      <c r="K42" s="208"/>
      <c r="L42" s="206" t="s">
        <v>314</v>
      </c>
      <c r="M42" s="207"/>
      <c r="N42" s="207"/>
      <c r="O42" s="134" t="s">
        <v>315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4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4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2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4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3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3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13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3" sqref="O3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387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368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369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感じたことを整理する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感じたことを整理する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鑑賞文を書く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竹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言葉の関係を考えよう</v>
      </c>
      <c r="P4" s="87" t="str">
        <f>LOOKUP(P21,$X$2:$Y$43,$Y$2:$Y$43)</f>
        <v>現</v>
      </c>
      <c r="Q4" s="9"/>
      <c r="R4" s="195"/>
      <c r="S4" s="94">
        <v>3</v>
      </c>
      <c r="T4" s="95" t="s">
        <v>370</v>
      </c>
      <c r="U4" s="93">
        <f>COUNTIF(C21:O34,"=3")</f>
        <v>1</v>
      </c>
      <c r="V4" s="195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平面図形 基本の作図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鑑賞文を書く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円とおうぎ形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円とおうぎ形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>円とおうぎ形</v>
      </c>
      <c r="P5" s="101" t="str">
        <f>LOOKUP(P22,$X$2:$Y$43,$Y$2:$Y$43)</f>
        <v>現</v>
      </c>
      <c r="Q5" s="9"/>
      <c r="R5" s="195"/>
      <c r="S5" s="94">
        <v>4</v>
      </c>
      <c r="T5" s="95" t="s">
        <v>371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日本の文化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平面図形 基本の作図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力と圧力</v>
      </c>
      <c r="J6" s="101" t="str">
        <f t="shared" si="2"/>
        <v>現</v>
      </c>
      <c r="K6" s="100" t="str">
        <f t="shared" si="2"/>
        <v>国　語</v>
      </c>
      <c r="L6" s="101" t="str">
        <f>LOOKUP(L23,$S$2:$T$69,$T$2:$T$69)</f>
        <v>文・文節（小4）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北アメリカ州</v>
      </c>
      <c r="P6" s="101" t="str">
        <f>LOOKUP(P23,$X$2:$Y$43,$Y$2:$Y$43)</f>
        <v>現</v>
      </c>
      <c r="Q6" s="9"/>
      <c r="R6" s="195"/>
      <c r="S6" s="94">
        <v>5</v>
      </c>
      <c r="T6" s="95" t="s">
        <v>372</v>
      </c>
      <c r="U6" s="93">
        <f>COUNTIF(C21:O34,"=5")</f>
        <v>2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三角形と四角形（小2）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円と球（小3）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三角形（小3）</v>
      </c>
      <c r="P7" s="101" t="str">
        <f>LOOKUP(P24,$X$2:$Y$43,$Y$2:$Y$43)</f>
        <v>ス</v>
      </c>
      <c r="Q7" s="9"/>
      <c r="R7" s="195"/>
      <c r="S7" s="94">
        <v>6</v>
      </c>
      <c r="T7" s="95" t="s">
        <v>373</v>
      </c>
      <c r="U7" s="93">
        <f>COUNTIF(C21:O34,"=6")</f>
        <v>1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 t="s">
        <v>374</v>
      </c>
      <c r="U8" s="93">
        <f>COUNTIF(C21:O34,"=7")</f>
        <v>1</v>
      </c>
      <c r="V8" s="195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言葉の関係を考えよう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桜守三代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本の世界を広げよう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季節のしおり　冬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桜守三代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力と圧力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単文・複文・重文（小5）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円と正多角形（小5）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南アメリカ州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375</v>
      </c>
      <c r="U11" s="88">
        <f>COUNTIF(C21:O34,"=10")</f>
        <v>1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家庭生活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学校生活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376</v>
      </c>
      <c r="U12" s="93">
        <f>COUNTIF(C21:O34,"=11")</f>
        <v>1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2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13</v>
      </c>
      <c r="V18" s="195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377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378</v>
      </c>
      <c r="U20" s="93">
        <f>COUNTIF(C21:O34,"=23")</f>
        <v>3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217</v>
      </c>
      <c r="I22" s="117">
        <v>23</v>
      </c>
      <c r="J22" s="118">
        <v>50</v>
      </c>
      <c r="K22" s="116" t="s">
        <v>217</v>
      </c>
      <c r="L22" s="117">
        <v>23</v>
      </c>
      <c r="M22" s="118">
        <v>50</v>
      </c>
      <c r="N22" s="116" t="s">
        <v>217</v>
      </c>
      <c r="O22" s="117">
        <v>23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53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211</v>
      </c>
      <c r="L23" s="117">
        <v>11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195"/>
      <c r="S24" s="86">
        <v>27</v>
      </c>
      <c r="T24" s="91" t="s">
        <v>379</v>
      </c>
      <c r="U24" s="88">
        <f>COUNTIF(C21:O34,"=27")</f>
        <v>1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380</v>
      </c>
      <c r="U25" s="93">
        <f>COUNTIF(C21:O34,"=28")</f>
        <v>1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5</v>
      </c>
      <c r="G26" s="115">
        <v>50</v>
      </c>
      <c r="H26" s="113" t="s">
        <v>211</v>
      </c>
      <c r="I26" s="114">
        <v>6</v>
      </c>
      <c r="J26" s="115">
        <v>50</v>
      </c>
      <c r="K26" s="113" t="s">
        <v>211</v>
      </c>
      <c r="L26" s="114">
        <v>7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381</v>
      </c>
      <c r="U26" s="93">
        <f>COUNTIF(C21:O34,"=29")</f>
        <v>1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227</v>
      </c>
      <c r="C27" s="117">
        <v>47</v>
      </c>
      <c r="D27" s="118">
        <v>50</v>
      </c>
      <c r="E27" s="116" t="s">
        <v>211</v>
      </c>
      <c r="F27" s="117">
        <v>5</v>
      </c>
      <c r="G27" s="118">
        <v>50</v>
      </c>
      <c r="H27" s="116" t="s">
        <v>230</v>
      </c>
      <c r="I27" s="117">
        <v>47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 t="s">
        <v>382</v>
      </c>
      <c r="U27" s="93">
        <f>COUNTIF(C21:O34,"=30")</f>
        <v>1</v>
      </c>
      <c r="V27" s="196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10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223</v>
      </c>
      <c r="I28" s="117">
        <v>36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209</v>
      </c>
      <c r="F29" s="117">
        <v>58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59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4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9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383</v>
      </c>
      <c r="U33" s="88">
        <f>COUNTIF(C21:O34,"=35")</f>
        <v>1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 t="s">
        <v>384</v>
      </c>
      <c r="U34" s="93">
        <f>COUNTIF(C21:O34,"=36")</f>
        <v>1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0" t="s">
        <v>90</v>
      </c>
      <c r="D39" s="212"/>
      <c r="E39" s="212"/>
      <c r="F39" s="210" t="s">
        <v>385</v>
      </c>
      <c r="G39" s="216"/>
      <c r="H39" s="216"/>
      <c r="I39" s="210" t="s">
        <v>146</v>
      </c>
      <c r="J39" s="217"/>
      <c r="K39" s="217"/>
      <c r="L39" s="210" t="s">
        <v>311</v>
      </c>
      <c r="M39" s="212"/>
      <c r="N39" s="202"/>
      <c r="O39" s="133" t="s">
        <v>257</v>
      </c>
      <c r="P39" s="9"/>
      <c r="R39" s="194" t="s">
        <v>258</v>
      </c>
      <c r="S39" s="128">
        <v>40</v>
      </c>
      <c r="T39" s="91" t="s">
        <v>386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105</v>
      </c>
      <c r="D40" s="213"/>
      <c r="E40" s="213"/>
      <c r="F40" s="206" t="s">
        <v>106</v>
      </c>
      <c r="G40" s="207"/>
      <c r="H40" s="207"/>
      <c r="I40" s="206" t="s">
        <v>136</v>
      </c>
      <c r="J40" s="208"/>
      <c r="K40" s="208"/>
      <c r="L40" s="206" t="s">
        <v>108</v>
      </c>
      <c r="M40" s="213"/>
      <c r="N40" s="207"/>
      <c r="O40" s="134" t="s">
        <v>317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107</v>
      </c>
      <c r="D41" s="213"/>
      <c r="E41" s="213"/>
      <c r="F41" s="206" t="s">
        <v>108</v>
      </c>
      <c r="G41" s="207"/>
      <c r="H41" s="207"/>
      <c r="I41" s="206" t="s">
        <v>130</v>
      </c>
      <c r="J41" s="208"/>
      <c r="K41" s="208"/>
      <c r="L41" s="206" t="s">
        <v>132</v>
      </c>
      <c r="M41" s="213"/>
      <c r="N41" s="207"/>
      <c r="O41" s="134" t="s">
        <v>278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109</v>
      </c>
      <c r="D42" s="213"/>
      <c r="E42" s="213"/>
      <c r="F42" s="206" t="s">
        <v>107</v>
      </c>
      <c r="G42" s="207"/>
      <c r="H42" s="207"/>
      <c r="I42" s="206" t="s">
        <v>132</v>
      </c>
      <c r="J42" s="208"/>
      <c r="K42" s="208"/>
      <c r="L42" s="206" t="s">
        <v>318</v>
      </c>
      <c r="M42" s="213"/>
      <c r="N42" s="207"/>
      <c r="O42" s="134" t="s">
        <v>319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1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1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1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5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388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368</v>
      </c>
      <c r="U2" s="88">
        <f>COUNTIF(C21:O34,"=1")</f>
        <v>1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369</v>
      </c>
      <c r="U3" s="93">
        <f>COUNTIF(C21:O34,"=2")</f>
        <v>1</v>
      </c>
      <c r="V3" s="19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感じたことを整理する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竹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言葉の関係を考えよう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桜守三代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本の世界を広げよう</v>
      </c>
      <c r="P4" s="87" t="str">
        <f>LOOKUP(P21,$X$2:$Y$43,$Y$2:$Y$43)</f>
        <v>現</v>
      </c>
      <c r="Q4" s="9"/>
      <c r="R4" s="195"/>
      <c r="S4" s="94">
        <v>3</v>
      </c>
      <c r="T4" s="95" t="s">
        <v>370</v>
      </c>
      <c r="U4" s="93">
        <f>COUNTIF(C21:O34,"=3")</f>
        <v>1</v>
      </c>
      <c r="V4" s="19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鑑賞文を書く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平面図形 基本の作図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円とおうぎ形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円とおうぎ形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円とおうぎ形</v>
      </c>
      <c r="P5" s="101" t="str">
        <f>LOOKUP(P22,$X$2:$Y$43,$Y$2:$Y$43)</f>
        <v>現</v>
      </c>
      <c r="Q5" s="9"/>
      <c r="R5" s="195"/>
      <c r="S5" s="94">
        <v>4</v>
      </c>
      <c r="T5" s="95" t="s">
        <v>371</v>
      </c>
      <c r="U5" s="93">
        <f>COUNTIF(C21:O34,"=4")</f>
        <v>1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平面図形 基本の作図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力と圧力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力と圧力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北アメリカ州</v>
      </c>
      <c r="P6" s="101" t="str">
        <f>LOOKUP(P23,$X$2:$Y$43,$Y$2:$Y$43)</f>
        <v>現</v>
      </c>
      <c r="Q6" s="9"/>
      <c r="R6" s="195"/>
      <c r="S6" s="94">
        <v>5</v>
      </c>
      <c r="T6" s="95" t="s">
        <v>372</v>
      </c>
      <c r="U6" s="93">
        <f>COUNTIF(C21:O34,"=5")</f>
        <v>1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円と正多角形（小5）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95"/>
      <c r="S7" s="94">
        <v>6</v>
      </c>
      <c r="T7" s="95" t="s">
        <v>373</v>
      </c>
      <c r="U7" s="93">
        <f>COUNTIF(C21:O34,"=6")</f>
        <v>1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 t="s">
        <v>374</v>
      </c>
      <c r="U8" s="93">
        <f>COUNTIF(C21:O34,"=7")</f>
        <v>1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季節のしおり　冬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7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南アメリカ州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375</v>
      </c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376</v>
      </c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0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7</v>
      </c>
      <c r="V18" s="195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377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378</v>
      </c>
      <c r="U20" s="93">
        <f>COUNTIF(C21:O34,"=23")</f>
        <v>3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3</v>
      </c>
      <c r="G21" s="115">
        <v>50</v>
      </c>
      <c r="H21" s="113" t="s">
        <v>211</v>
      </c>
      <c r="I21" s="114">
        <v>4</v>
      </c>
      <c r="J21" s="115">
        <v>50</v>
      </c>
      <c r="K21" s="113" t="s">
        <v>211</v>
      </c>
      <c r="L21" s="114">
        <v>5</v>
      </c>
      <c r="M21" s="115">
        <v>50</v>
      </c>
      <c r="N21" s="113" t="s">
        <v>211</v>
      </c>
      <c r="O21" s="114">
        <v>6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230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30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195"/>
      <c r="S24" s="86">
        <v>27</v>
      </c>
      <c r="T24" s="91" t="s">
        <v>379</v>
      </c>
      <c r="U24" s="88">
        <f>COUNTIF(C21:O34,"=27")</f>
        <v>0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380</v>
      </c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7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381</v>
      </c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 t="s">
        <v>382</v>
      </c>
      <c r="U27" s="93">
        <f>COUNTIF(C21:O34,"=30")</f>
        <v>1</v>
      </c>
      <c r="V27" s="196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36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1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6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383</v>
      </c>
      <c r="U33" s="88">
        <f>COUNTIF(C21:O34,"=35")</f>
        <v>1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 t="s">
        <v>384</v>
      </c>
      <c r="U34" s="93">
        <f>COUNTIF(C21:O34,"=36")</f>
        <v>1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1" t="s">
        <v>90</v>
      </c>
      <c r="D39" s="202"/>
      <c r="E39" s="202"/>
      <c r="F39" s="211" t="s">
        <v>385</v>
      </c>
      <c r="G39" s="202"/>
      <c r="H39" s="202"/>
      <c r="I39" s="211" t="s">
        <v>146</v>
      </c>
      <c r="J39" s="204"/>
      <c r="K39" s="204"/>
      <c r="L39" s="211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386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140</v>
      </c>
      <c r="D40" s="207"/>
      <c r="E40" s="207"/>
      <c r="F40" s="206" t="s">
        <v>114</v>
      </c>
      <c r="G40" s="207"/>
      <c r="H40" s="207"/>
      <c r="I40" s="206" t="s">
        <v>136</v>
      </c>
      <c r="J40" s="208"/>
      <c r="K40" s="208"/>
      <c r="L40" s="206" t="s">
        <v>108</v>
      </c>
      <c r="M40" s="207"/>
      <c r="N40" s="207"/>
      <c r="O40" s="134" t="s">
        <v>281</v>
      </c>
      <c r="P40" s="9"/>
      <c r="R40" s="195"/>
      <c r="S40" s="129">
        <v>41</v>
      </c>
      <c r="T40" s="95"/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114</v>
      </c>
      <c r="D41" s="207"/>
      <c r="E41" s="207"/>
      <c r="F41" s="206" t="s">
        <v>116</v>
      </c>
      <c r="G41" s="207"/>
      <c r="H41" s="207"/>
      <c r="I41" s="206" t="s">
        <v>141</v>
      </c>
      <c r="J41" s="208"/>
      <c r="K41" s="208"/>
      <c r="L41" s="206" t="s">
        <v>116</v>
      </c>
      <c r="M41" s="207"/>
      <c r="N41" s="207"/>
      <c r="O41" s="134" t="s">
        <v>282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142</v>
      </c>
      <c r="D42" s="207"/>
      <c r="E42" s="207"/>
      <c r="F42" s="206" t="s">
        <v>115</v>
      </c>
      <c r="G42" s="207"/>
      <c r="H42" s="207"/>
      <c r="I42" s="206" t="s">
        <v>116</v>
      </c>
      <c r="J42" s="208"/>
      <c r="K42" s="208"/>
      <c r="L42" s="206" t="s">
        <v>115</v>
      </c>
      <c r="M42" s="207"/>
      <c r="N42" s="207"/>
      <c r="O42" s="134" t="s">
        <v>283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0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2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35" sqref="T35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389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390</v>
      </c>
      <c r="U2" s="88">
        <f>COUNTIF(C21:O34,"=1")</f>
        <v>1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13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391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意見文の説得力を考える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根拠を明確にして意見を書こう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根拠を明確にして意見を書こう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落葉松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>図形の性質と証明 三角形</v>
      </c>
      <c r="P4" s="87" t="str">
        <f>LOOKUP(P21,$X$2:$Y$43,$Y$2:$Y$43)</f>
        <v>現</v>
      </c>
      <c r="Q4" s="9"/>
      <c r="R4" s="195"/>
      <c r="S4" s="94">
        <v>3</v>
      </c>
      <c r="T4" s="95" t="s">
        <v>392</v>
      </c>
      <c r="U4" s="93">
        <f>COUNTIF(C21:O34,"=3")</f>
        <v>2</v>
      </c>
      <c r="V4" s="195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図形の性質と証明 三角形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明治維新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図形の性質と証明 三角形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明治維新</v>
      </c>
      <c r="M5" s="101" t="str">
        <f t="shared" si="3"/>
        <v>現</v>
      </c>
      <c r="N5" s="100" t="str">
        <f t="shared" si="3"/>
        <v>理　科</v>
      </c>
      <c r="O5" s="101" t="str">
        <f>LOOKUP(O22,$S$2:$T$69,$T$2:$T$69)</f>
        <v>電流と磁界</v>
      </c>
      <c r="P5" s="101" t="str">
        <f>LOOKUP(P22,$X$2:$Y$43,$Y$2:$Y$43)</f>
        <v>現</v>
      </c>
      <c r="Q5" s="9"/>
      <c r="R5" s="195"/>
      <c r="S5" s="94">
        <v>4</v>
      </c>
      <c r="T5" s="95" t="s">
        <v>393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社　会</v>
      </c>
      <c r="C6" s="101" t="str">
        <f>LOOKUP(C23,$S$2:$T$69,$T$2:$T$69)</f>
        <v>学習用具・教科用語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日本の文化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195"/>
      <c r="S6" s="94">
        <v>5</v>
      </c>
      <c r="T6" s="95" t="s">
        <v>394</v>
      </c>
      <c r="U6" s="93">
        <f>COUNTIF(C21:O34,"=5")</f>
        <v>2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三角形と四角形（小2）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三角形と四角形（小2）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三角形（小3）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95"/>
      <c r="S7" s="94">
        <v>6</v>
      </c>
      <c r="T7" s="95" t="s">
        <v>373</v>
      </c>
      <c r="U7" s="93">
        <f>COUNTIF(C21:O34,"=6")</f>
        <v>1</v>
      </c>
      <c r="V7" s="195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 t="s">
        <v>374</v>
      </c>
      <c r="U8" s="93">
        <f>COUNTIF(C21:O34,"=7")</f>
        <v>1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落葉松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走る。走らない。走ろうよ。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走る。走らない。走ろうよ。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>図形の性質と証明 三角形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小さな町のラジオ発</v>
      </c>
      <c r="P9" s="87" t="str">
        <f>LOOKUP(P26,$X$2:$Y$43,$Y$2:$Y$43)</f>
        <v>現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>図形の性質と証明 三角形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電流の正体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小さな町のラジオ発</v>
      </c>
      <c r="M10" s="101" t="str">
        <f t="shared" si="7"/>
        <v>現</v>
      </c>
      <c r="N10" s="100" t="str">
        <f t="shared" si="7"/>
        <v>家庭科</v>
      </c>
      <c r="O10" s="101" t="str">
        <f>LOOKUP(O27,$S$2:$T$69,$T$2:$T$69)</f>
        <v>学習用具・教科用語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国　語</v>
      </c>
      <c r="F11" s="101" t="str">
        <f>LOOKUP(F28,$S$2:$T$69,$T$2:$T$69)</f>
        <v>動詞の働き・種類・形の変化（小4）</v>
      </c>
      <c r="G11" s="101" t="str">
        <f t="shared" si="5"/>
        <v>ス</v>
      </c>
      <c r="H11" s="100" t="str">
        <f t="shared" si="5"/>
        <v>国　語</v>
      </c>
      <c r="I11" s="101" t="str">
        <f>LOOKUP(I28,$S$2:$T$69,$T$2:$T$69)</f>
        <v>言葉の種類　動詞（小6）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195"/>
      <c r="S11" s="86">
        <v>10</v>
      </c>
      <c r="T11" s="91" t="s">
        <v>395</v>
      </c>
      <c r="U11" s="88">
        <f>COUNTIF(C21:O34,"=10")</f>
        <v>1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図　工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三角形（小3）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面積（小4）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面積（小4）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95"/>
      <c r="S12" s="94">
        <v>11</v>
      </c>
      <c r="T12" s="95" t="s">
        <v>396</v>
      </c>
      <c r="U12" s="93">
        <f>COUNTIF(C21:O34,"=11")</f>
        <v>1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本の世界を広げよう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季節のしおり　冬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面積（小5）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2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13</v>
      </c>
      <c r="V18" s="195"/>
      <c r="W18" s="9"/>
      <c r="X18" s="109">
        <v>50</v>
      </c>
      <c r="Y18" s="110" t="s">
        <v>241</v>
      </c>
      <c r="Z18" s="105">
        <f>COUNTIF(C21:P34,"=50")</f>
        <v>20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397</v>
      </c>
      <c r="U19" s="88">
        <f>COUNTIF(C21:O34,"=22")</f>
        <v>5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28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/>
      <c r="U20" s="93">
        <f>COUNTIF(C21:O34,"=23")</f>
        <v>0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217</v>
      </c>
      <c r="O21" s="114">
        <v>22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223</v>
      </c>
      <c r="L22" s="117">
        <v>35</v>
      </c>
      <c r="M22" s="118">
        <v>50</v>
      </c>
      <c r="N22" s="116" t="s">
        <v>220</v>
      </c>
      <c r="O22" s="117">
        <v>40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223</v>
      </c>
      <c r="C23" s="117">
        <v>47</v>
      </c>
      <c r="D23" s="119">
        <v>51</v>
      </c>
      <c r="E23" s="116" t="s">
        <v>209</v>
      </c>
      <c r="F23" s="117">
        <v>53</v>
      </c>
      <c r="G23" s="119">
        <v>51</v>
      </c>
      <c r="H23" s="116" t="s">
        <v>223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95"/>
      <c r="S24" s="86">
        <v>27</v>
      </c>
      <c r="T24" s="91" t="s">
        <v>379</v>
      </c>
      <c r="U24" s="88">
        <f>COUNTIF(C21:O34,"=27")</f>
        <v>2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381</v>
      </c>
      <c r="U25" s="93">
        <f>COUNTIF(C21:O34,"=28")</f>
        <v>2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217</v>
      </c>
      <c r="L26" s="114">
        <v>22</v>
      </c>
      <c r="M26" s="115">
        <v>50</v>
      </c>
      <c r="N26" s="113" t="s">
        <v>211</v>
      </c>
      <c r="O26" s="114">
        <v>5</v>
      </c>
      <c r="P26" s="115">
        <v>50</v>
      </c>
      <c r="Q26" s="9"/>
      <c r="R26" s="195"/>
      <c r="S26" s="94">
        <v>29</v>
      </c>
      <c r="T26" s="95" t="s">
        <v>398</v>
      </c>
      <c r="U26" s="93">
        <f>COUNTIF(C21:O34,"=29")</f>
        <v>2</v>
      </c>
      <c r="V26" s="19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217</v>
      </c>
      <c r="F27" s="117">
        <v>22</v>
      </c>
      <c r="G27" s="118">
        <v>50</v>
      </c>
      <c r="H27" s="116" t="s">
        <v>220</v>
      </c>
      <c r="I27" s="117">
        <v>41</v>
      </c>
      <c r="J27" s="118">
        <v>50</v>
      </c>
      <c r="K27" s="116" t="s">
        <v>211</v>
      </c>
      <c r="L27" s="117">
        <v>5</v>
      </c>
      <c r="M27" s="118">
        <v>50</v>
      </c>
      <c r="N27" s="116" t="s">
        <v>230</v>
      </c>
      <c r="O27" s="117">
        <v>47</v>
      </c>
      <c r="P27" s="119">
        <v>51</v>
      </c>
      <c r="Q27" s="9"/>
      <c r="R27" s="195"/>
      <c r="S27" s="94">
        <v>30</v>
      </c>
      <c r="T27" s="95" t="s">
        <v>399</v>
      </c>
      <c r="U27" s="93">
        <f>COUNTIF(C21:O34,"=30")</f>
        <v>1</v>
      </c>
      <c r="V27" s="196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211</v>
      </c>
      <c r="F28" s="117">
        <v>10</v>
      </c>
      <c r="G28" s="119">
        <v>51</v>
      </c>
      <c r="H28" s="116" t="s">
        <v>211</v>
      </c>
      <c r="I28" s="117">
        <v>11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225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6</v>
      </c>
      <c r="D31" s="115">
        <v>50</v>
      </c>
      <c r="E31" s="113" t="s">
        <v>211</v>
      </c>
      <c r="F31" s="114">
        <v>7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7</v>
      </c>
      <c r="V31" s="19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30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12</v>
      </c>
      <c r="V32" s="19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400</v>
      </c>
      <c r="U33" s="88">
        <f>COUNTIF(C21:O34,"=35")</f>
        <v>2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03" t="s">
        <v>90</v>
      </c>
      <c r="D39" s="202"/>
      <c r="E39" s="202"/>
      <c r="F39" s="203" t="s">
        <v>385</v>
      </c>
      <c r="G39" s="214"/>
      <c r="H39" s="214"/>
      <c r="I39" s="203" t="s">
        <v>146</v>
      </c>
      <c r="J39" s="215"/>
      <c r="K39" s="215"/>
      <c r="L39" s="203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401</v>
      </c>
      <c r="U39" s="88">
        <f>COUNTIF(C21:O34,"=40")</f>
        <v>1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188</v>
      </c>
      <c r="D40" s="207"/>
      <c r="E40" s="207"/>
      <c r="F40" s="206" t="s">
        <v>93</v>
      </c>
      <c r="G40" s="207"/>
      <c r="H40" s="207"/>
      <c r="I40" s="206" t="s">
        <v>128</v>
      </c>
      <c r="J40" s="208"/>
      <c r="K40" s="208"/>
      <c r="L40" s="206" t="s">
        <v>175</v>
      </c>
      <c r="M40" s="207"/>
      <c r="N40" s="207"/>
      <c r="O40" s="134" t="s">
        <v>259</v>
      </c>
      <c r="P40" s="9"/>
      <c r="R40" s="195"/>
      <c r="S40" s="129">
        <v>41</v>
      </c>
      <c r="T40" s="95" t="s">
        <v>402</v>
      </c>
      <c r="U40" s="93">
        <f>COUNTIF(C21:O34,"=41")</f>
        <v>1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96</v>
      </c>
      <c r="D41" s="207"/>
      <c r="E41" s="207"/>
      <c r="F41" s="206" t="s">
        <v>97</v>
      </c>
      <c r="G41" s="207"/>
      <c r="H41" s="207"/>
      <c r="I41" s="206" t="s">
        <v>130</v>
      </c>
      <c r="J41" s="208"/>
      <c r="K41" s="208"/>
      <c r="L41" s="206" t="s">
        <v>132</v>
      </c>
      <c r="M41" s="207"/>
      <c r="N41" s="207"/>
      <c r="O41" s="134" t="s">
        <v>313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100</v>
      </c>
      <c r="D42" s="207"/>
      <c r="E42" s="207"/>
      <c r="F42" s="206" t="s">
        <v>101</v>
      </c>
      <c r="G42" s="207"/>
      <c r="H42" s="207"/>
      <c r="I42" s="206" t="s">
        <v>132</v>
      </c>
      <c r="J42" s="208"/>
      <c r="K42" s="208"/>
      <c r="L42" s="206" t="s">
        <v>314</v>
      </c>
      <c r="M42" s="207"/>
      <c r="N42" s="207"/>
      <c r="O42" s="134" t="s">
        <v>315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4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4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2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2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3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3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3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13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3" sqref="O3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403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390</v>
      </c>
      <c r="U2" s="88">
        <f>COUNTIF(C21:O34,"=1")</f>
        <v>1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5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391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13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意見文の説得力を考える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根拠を明確にして意見を書こう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落葉松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落葉松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走る。走らない。走ろうよ。</v>
      </c>
      <c r="P4" s="87" t="str">
        <f>LOOKUP(P21,$X$2:$Y$43,$Y$2:$Y$43)</f>
        <v>現</v>
      </c>
      <c r="Q4" s="9"/>
      <c r="R4" s="195"/>
      <c r="S4" s="94">
        <v>3</v>
      </c>
      <c r="T4" s="95" t="s">
        <v>392</v>
      </c>
      <c r="U4" s="93">
        <f>COUNTIF(C21:O34,"=3")</f>
        <v>2</v>
      </c>
      <c r="V4" s="195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図形の性質と証明 三角形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根拠を明確にして意見を書こう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図形の性質と証明 三角形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図形の性質と証明 三角形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>図形の性質と証明 三角形</v>
      </c>
      <c r="P5" s="101" t="str">
        <f>LOOKUP(P22,$X$2:$Y$43,$Y$2:$Y$43)</f>
        <v>現</v>
      </c>
      <c r="Q5" s="9"/>
      <c r="R5" s="195"/>
      <c r="S5" s="94">
        <v>4</v>
      </c>
      <c r="T5" s="95" t="s">
        <v>393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図形の性質と証明 三角形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電流と磁界</v>
      </c>
      <c r="J6" s="101" t="str">
        <f t="shared" si="2"/>
        <v>現</v>
      </c>
      <c r="K6" s="100" t="str">
        <f t="shared" si="2"/>
        <v>国　語</v>
      </c>
      <c r="L6" s="101" t="str">
        <f>LOOKUP(L23,$S$2:$T$69,$T$2:$T$69)</f>
        <v>動詞の働き・種類・形の変化（小4）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明治維新</v>
      </c>
      <c r="P6" s="101" t="str">
        <f>LOOKUP(P23,$X$2:$Y$43,$Y$2:$Y$43)</f>
        <v>現</v>
      </c>
      <c r="Q6" s="9"/>
      <c r="R6" s="195"/>
      <c r="S6" s="94">
        <v>5</v>
      </c>
      <c r="T6" s="95" t="s">
        <v>394</v>
      </c>
      <c r="U6" s="93">
        <f>COUNTIF(C21:O34,"=5")</f>
        <v>2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三角形と四角形（小2）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三角形（小3）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面積（小4）</v>
      </c>
      <c r="P7" s="101" t="str">
        <f>LOOKUP(P24,$X$2:$Y$43,$Y$2:$Y$43)</f>
        <v>ス</v>
      </c>
      <c r="Q7" s="9"/>
      <c r="R7" s="195"/>
      <c r="S7" s="94">
        <v>6</v>
      </c>
      <c r="T7" s="95" t="s">
        <v>373</v>
      </c>
      <c r="U7" s="93">
        <f>COUNTIF(C21:O34,"=6")</f>
        <v>1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 t="s">
        <v>374</v>
      </c>
      <c r="U8" s="93">
        <f>COUNTIF(C21:O34,"=7")</f>
        <v>1</v>
      </c>
      <c r="V8" s="195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走る。走らない。走ろうよ。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小さな町のラジオ発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本の世界を広げよう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季節のしおり　冬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小さな町のラジオ発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電流と磁界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言葉の種類　動詞（小6）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面積（小5）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明治維新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395</v>
      </c>
      <c r="U11" s="88">
        <f>COUNTIF(C21:O34,"=10")</f>
        <v>1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日本語能力試験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396</v>
      </c>
      <c r="U12" s="93">
        <f>COUNTIF(C21:O34,"=11")</f>
        <v>1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2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13</v>
      </c>
      <c r="V18" s="195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397</v>
      </c>
      <c r="U19" s="88">
        <f>COUNTIF(C21:O34,"=22")</f>
        <v>5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/>
      <c r="U20" s="93">
        <f>COUNTIF(C21:O34,"=23")</f>
        <v>0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217</v>
      </c>
      <c r="L22" s="117">
        <v>22</v>
      </c>
      <c r="M22" s="118">
        <v>50</v>
      </c>
      <c r="N22" s="116" t="s">
        <v>217</v>
      </c>
      <c r="O22" s="117">
        <v>22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211</v>
      </c>
      <c r="L23" s="117">
        <v>10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195"/>
      <c r="S24" s="86">
        <v>27</v>
      </c>
      <c r="T24" s="91" t="s">
        <v>379</v>
      </c>
      <c r="U24" s="88">
        <f>COUNTIF(C21:O34,"=27")</f>
        <v>1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381</v>
      </c>
      <c r="U25" s="93">
        <f>COUNTIF(C21:O34,"=28")</f>
        <v>1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5</v>
      </c>
      <c r="G26" s="115">
        <v>50</v>
      </c>
      <c r="H26" s="113" t="s">
        <v>211</v>
      </c>
      <c r="I26" s="114">
        <v>6</v>
      </c>
      <c r="J26" s="115">
        <v>50</v>
      </c>
      <c r="K26" s="113" t="s">
        <v>211</v>
      </c>
      <c r="L26" s="114">
        <v>7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398</v>
      </c>
      <c r="U26" s="93">
        <f>COUNTIF(C21:O34,"=29")</f>
        <v>1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227</v>
      </c>
      <c r="C27" s="117">
        <v>47</v>
      </c>
      <c r="D27" s="118">
        <v>50</v>
      </c>
      <c r="E27" s="116" t="s">
        <v>211</v>
      </c>
      <c r="F27" s="117">
        <v>5</v>
      </c>
      <c r="G27" s="118">
        <v>50</v>
      </c>
      <c r="H27" s="116" t="s">
        <v>230</v>
      </c>
      <c r="I27" s="117">
        <v>47</v>
      </c>
      <c r="J27" s="118">
        <v>50</v>
      </c>
      <c r="K27" s="116" t="s">
        <v>220</v>
      </c>
      <c r="L27" s="117">
        <v>40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 t="s">
        <v>399</v>
      </c>
      <c r="U27" s="93">
        <f>COUNTIF(C21:O34,"=30")</f>
        <v>1</v>
      </c>
      <c r="V27" s="196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11</v>
      </c>
      <c r="D28" s="119">
        <v>51</v>
      </c>
      <c r="E28" s="116" t="s">
        <v>214</v>
      </c>
      <c r="F28" s="117">
        <v>30</v>
      </c>
      <c r="G28" s="119">
        <v>51</v>
      </c>
      <c r="H28" s="116" t="s">
        <v>223</v>
      </c>
      <c r="I28" s="117">
        <v>35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55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4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9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400</v>
      </c>
      <c r="U33" s="88">
        <f>COUNTIF(C21:O34,"=35")</f>
        <v>2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0" t="s">
        <v>90</v>
      </c>
      <c r="D39" s="212"/>
      <c r="E39" s="212"/>
      <c r="F39" s="210" t="s">
        <v>385</v>
      </c>
      <c r="G39" s="216"/>
      <c r="H39" s="216"/>
      <c r="I39" s="210" t="s">
        <v>146</v>
      </c>
      <c r="J39" s="217"/>
      <c r="K39" s="217"/>
      <c r="L39" s="210" t="s">
        <v>311</v>
      </c>
      <c r="M39" s="212"/>
      <c r="N39" s="202"/>
      <c r="O39" s="133" t="s">
        <v>257</v>
      </c>
      <c r="P39" s="9"/>
      <c r="R39" s="194" t="s">
        <v>258</v>
      </c>
      <c r="S39" s="128">
        <v>40</v>
      </c>
      <c r="T39" s="91" t="s">
        <v>401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105</v>
      </c>
      <c r="D40" s="213"/>
      <c r="E40" s="213"/>
      <c r="F40" s="206" t="s">
        <v>106</v>
      </c>
      <c r="G40" s="207"/>
      <c r="H40" s="207"/>
      <c r="I40" s="206" t="s">
        <v>136</v>
      </c>
      <c r="J40" s="208"/>
      <c r="K40" s="208"/>
      <c r="L40" s="206" t="s">
        <v>108</v>
      </c>
      <c r="M40" s="213"/>
      <c r="N40" s="207"/>
      <c r="O40" s="134" t="s">
        <v>317</v>
      </c>
      <c r="P40" s="9"/>
      <c r="R40" s="195"/>
      <c r="S40" s="129">
        <v>41</v>
      </c>
      <c r="T40" s="95" t="s">
        <v>402</v>
      </c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107</v>
      </c>
      <c r="D41" s="213"/>
      <c r="E41" s="213"/>
      <c r="F41" s="206" t="s">
        <v>108</v>
      </c>
      <c r="G41" s="207"/>
      <c r="H41" s="207"/>
      <c r="I41" s="206" t="s">
        <v>130</v>
      </c>
      <c r="J41" s="208"/>
      <c r="K41" s="208"/>
      <c r="L41" s="206" t="s">
        <v>132</v>
      </c>
      <c r="M41" s="213"/>
      <c r="N41" s="207"/>
      <c r="O41" s="134" t="s">
        <v>278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109</v>
      </c>
      <c r="D42" s="213"/>
      <c r="E42" s="213"/>
      <c r="F42" s="206" t="s">
        <v>107</v>
      </c>
      <c r="G42" s="207"/>
      <c r="H42" s="207"/>
      <c r="I42" s="206" t="s">
        <v>132</v>
      </c>
      <c r="J42" s="208"/>
      <c r="K42" s="208"/>
      <c r="L42" s="206" t="s">
        <v>318</v>
      </c>
      <c r="M42" s="213"/>
      <c r="N42" s="207"/>
      <c r="O42" s="134" t="s">
        <v>319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0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3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2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5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30" sqref="C3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404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390</v>
      </c>
      <c r="U2" s="88">
        <f>COUNTIF(C21:O34,"=1")</f>
        <v>1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391</v>
      </c>
      <c r="U3" s="93">
        <f>COUNTIF(C21:O34,"=2")</f>
        <v>1</v>
      </c>
      <c r="V3" s="19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意見文の説得力を考える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落葉松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走る。走らない。走ろうよ。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小さな町のラジオ発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本の世界を広げよう</v>
      </c>
      <c r="P4" s="87" t="str">
        <f>LOOKUP(P21,$X$2:$Y$43,$Y$2:$Y$43)</f>
        <v>現</v>
      </c>
      <c r="Q4" s="9"/>
      <c r="R4" s="195"/>
      <c r="S4" s="94">
        <v>3</v>
      </c>
      <c r="T4" s="95" t="s">
        <v>392</v>
      </c>
      <c r="U4" s="93">
        <f>COUNTIF(C21:O34,"=3")</f>
        <v>1</v>
      </c>
      <c r="V4" s="19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根拠を明確にして意見を書こう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図形の性質と証明 三角形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図形の性質と証明 三角形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図形の性質と証明 三角形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図形の性質と証明 三角形</v>
      </c>
      <c r="P5" s="101" t="str">
        <f>LOOKUP(P22,$X$2:$Y$43,$Y$2:$Y$43)</f>
        <v>現</v>
      </c>
      <c r="Q5" s="9"/>
      <c r="R5" s="195"/>
      <c r="S5" s="94">
        <v>4</v>
      </c>
      <c r="T5" s="95" t="s">
        <v>393</v>
      </c>
      <c r="U5" s="93">
        <f>COUNTIF(C21:O34,"=4")</f>
        <v>1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図形の性質と証明 三角形</v>
      </c>
      <c r="D6" s="101" t="str">
        <f t="shared" si="0"/>
        <v>現</v>
      </c>
      <c r="E6" s="100" t="str">
        <f t="shared" si="0"/>
        <v>家庭科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電流と磁界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電流と磁界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明治維新</v>
      </c>
      <c r="P6" s="101" t="str">
        <f>LOOKUP(P23,$X$2:$Y$43,$Y$2:$Y$43)</f>
        <v>現</v>
      </c>
      <c r="Q6" s="9"/>
      <c r="R6" s="195"/>
      <c r="S6" s="94">
        <v>5</v>
      </c>
      <c r="T6" s="95" t="s">
        <v>394</v>
      </c>
      <c r="U6" s="93">
        <f>COUNTIF(C21:O34,"=5")</f>
        <v>1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面積（小5）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95"/>
      <c r="S7" s="94">
        <v>6</v>
      </c>
      <c r="T7" s="95" t="s">
        <v>373</v>
      </c>
      <c r="U7" s="93">
        <f>COUNTIF(C21:O34,"=6")</f>
        <v>1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 t="s">
        <v>374</v>
      </c>
      <c r="U8" s="93">
        <f>COUNTIF(C21:O34,"=7")</f>
        <v>1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季節のしおり　冬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7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明治維新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395</v>
      </c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396</v>
      </c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0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7</v>
      </c>
      <c r="V18" s="195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397</v>
      </c>
      <c r="U19" s="88">
        <f>COUNTIF(C21:O34,"=22")</f>
        <v>5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/>
      <c r="U20" s="93">
        <f>COUNTIF(C21:O34,"=23")</f>
        <v>0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3</v>
      </c>
      <c r="G21" s="115">
        <v>50</v>
      </c>
      <c r="H21" s="113" t="s">
        <v>211</v>
      </c>
      <c r="I21" s="114">
        <v>4</v>
      </c>
      <c r="J21" s="115">
        <v>50</v>
      </c>
      <c r="K21" s="113" t="s">
        <v>211</v>
      </c>
      <c r="L21" s="114">
        <v>5</v>
      </c>
      <c r="M21" s="115">
        <v>50</v>
      </c>
      <c r="N21" s="113" t="s">
        <v>211</v>
      </c>
      <c r="O21" s="114">
        <v>6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230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40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30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195"/>
      <c r="S24" s="86">
        <v>27</v>
      </c>
      <c r="T24" s="91" t="s">
        <v>379</v>
      </c>
      <c r="U24" s="88">
        <f>COUNTIF(C21:O34,"=27")</f>
        <v>0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381</v>
      </c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7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398</v>
      </c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 t="s">
        <v>399</v>
      </c>
      <c r="U27" s="93">
        <f>COUNTIF(C21:O34,"=30")</f>
        <v>1</v>
      </c>
      <c r="V27" s="196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35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1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6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400</v>
      </c>
      <c r="U33" s="88">
        <f>COUNTIF(C21:O34,"=35")</f>
        <v>2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3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1" t="s">
        <v>90</v>
      </c>
      <c r="D39" s="202"/>
      <c r="E39" s="202"/>
      <c r="F39" s="211" t="s">
        <v>385</v>
      </c>
      <c r="G39" s="202"/>
      <c r="H39" s="202"/>
      <c r="I39" s="211" t="s">
        <v>146</v>
      </c>
      <c r="J39" s="204"/>
      <c r="K39" s="204"/>
      <c r="L39" s="211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401</v>
      </c>
      <c r="U39" s="88">
        <f>COUNTIF(C21:O34,"=40")</f>
        <v>2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140</v>
      </c>
      <c r="D40" s="207"/>
      <c r="E40" s="207"/>
      <c r="F40" s="206" t="s">
        <v>114</v>
      </c>
      <c r="G40" s="207"/>
      <c r="H40" s="207"/>
      <c r="I40" s="206" t="s">
        <v>136</v>
      </c>
      <c r="J40" s="208"/>
      <c r="K40" s="208"/>
      <c r="L40" s="206" t="s">
        <v>108</v>
      </c>
      <c r="M40" s="207"/>
      <c r="N40" s="207"/>
      <c r="O40" s="134" t="s">
        <v>281</v>
      </c>
      <c r="P40" s="9"/>
      <c r="R40" s="195"/>
      <c r="S40" s="129">
        <v>41</v>
      </c>
      <c r="T40" s="95" t="s">
        <v>402</v>
      </c>
      <c r="U40" s="93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114</v>
      </c>
      <c r="D41" s="207"/>
      <c r="E41" s="207"/>
      <c r="F41" s="206" t="s">
        <v>116</v>
      </c>
      <c r="G41" s="207"/>
      <c r="H41" s="207"/>
      <c r="I41" s="206" t="s">
        <v>141</v>
      </c>
      <c r="J41" s="208"/>
      <c r="K41" s="208"/>
      <c r="L41" s="206" t="s">
        <v>116</v>
      </c>
      <c r="M41" s="207"/>
      <c r="N41" s="207"/>
      <c r="O41" s="134" t="s">
        <v>282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142</v>
      </c>
      <c r="D42" s="207"/>
      <c r="E42" s="207"/>
      <c r="F42" s="206" t="s">
        <v>115</v>
      </c>
      <c r="G42" s="207"/>
      <c r="H42" s="207"/>
      <c r="I42" s="206" t="s">
        <v>116</v>
      </c>
      <c r="J42" s="208"/>
      <c r="K42" s="208"/>
      <c r="L42" s="206" t="s">
        <v>115</v>
      </c>
      <c r="M42" s="207"/>
      <c r="N42" s="207"/>
      <c r="O42" s="134" t="s">
        <v>283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0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2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0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2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405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406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15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407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初恋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初恋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「ない」の違いがわからない？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「ない」の違いがわからない？</v>
      </c>
      <c r="M4" s="87" t="str">
        <f t="shared" ref="M4:N7" si="3">LOOKUP(M21,$X$2:$Y$43,$Y$2:$Y$43)</f>
        <v>現</v>
      </c>
      <c r="N4" s="98" t="str">
        <f t="shared" si="3"/>
        <v>数　学</v>
      </c>
      <c r="O4" s="87" t="str">
        <f>LOOKUP(O21,$S$2:$T$69,$T$2:$T$69)</f>
        <v>円周角と中心角</v>
      </c>
      <c r="P4" s="87" t="str">
        <f>LOOKUP(P21,$X$2:$Y$43,$Y$2:$Y$43)</f>
        <v>現</v>
      </c>
      <c r="Q4" s="9"/>
      <c r="R4" s="195"/>
      <c r="S4" s="94">
        <v>3</v>
      </c>
      <c r="T4" s="95" t="s">
        <v>408</v>
      </c>
      <c r="U4" s="93">
        <f>COUNTIF(C21:O34,"=3")</f>
        <v>2</v>
      </c>
      <c r="V4" s="195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円周角と中心角</v>
      </c>
      <c r="D5" s="101" t="str">
        <f t="shared" si="0"/>
        <v>現</v>
      </c>
      <c r="E5" s="100" t="str">
        <f t="shared" si="0"/>
        <v>社　会</v>
      </c>
      <c r="F5" s="101" t="str">
        <f>LOOKUP(F22,$S$2:$T$69,$T$2:$T$69)</f>
        <v>消費生活と経済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円周角と中心角</v>
      </c>
      <c r="J5" s="101" t="str">
        <f t="shared" si="2"/>
        <v>現</v>
      </c>
      <c r="K5" s="100" t="str">
        <f t="shared" si="2"/>
        <v>社　会</v>
      </c>
      <c r="L5" s="101" t="str">
        <f>LOOKUP(L22,$S$2:$T$69,$T$2:$T$69)</f>
        <v>学習用具・教科用語</v>
      </c>
      <c r="M5" s="101" t="str">
        <f t="shared" si="3"/>
        <v>ス</v>
      </c>
      <c r="N5" s="100" t="str">
        <f t="shared" si="3"/>
        <v>理　科</v>
      </c>
      <c r="O5" s="101" t="str">
        <f>LOOKUP(O22,$S$2:$T$69,$T$2:$T$69)</f>
        <v>天体の１日の動き</v>
      </c>
      <c r="P5" s="101" t="str">
        <f>LOOKUP(P22,$X$2:$Y$43,$Y$2:$Y$43)</f>
        <v>現</v>
      </c>
      <c r="Q5" s="9"/>
      <c r="R5" s="195"/>
      <c r="S5" s="94">
        <v>4</v>
      </c>
      <c r="T5" s="95" t="s">
        <v>409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日本の文化</v>
      </c>
      <c r="G6" s="101" t="str">
        <f t="shared" si="1"/>
        <v>ス</v>
      </c>
      <c r="H6" s="100" t="str">
        <f t="shared" si="1"/>
        <v>社　会</v>
      </c>
      <c r="I6" s="101" t="str">
        <f>LOOKUP(I23,$S$2:$T$69,$T$2:$T$69)</f>
        <v>学習用具・教科用語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日本語</v>
      </c>
      <c r="O6" s="101" t="str">
        <f>LOOKUP(O23,$S$2:$T$69,$T$2:$T$69)</f>
        <v>家庭生活</v>
      </c>
      <c r="P6" s="101" t="str">
        <f>LOOKUP(P23,$X$2:$Y$43,$Y$2:$Y$43)</f>
        <v>ス</v>
      </c>
      <c r="Q6" s="9"/>
      <c r="R6" s="195"/>
      <c r="S6" s="94">
        <v>5</v>
      </c>
      <c r="T6" s="95" t="s">
        <v>373</v>
      </c>
      <c r="U6" s="93">
        <f>COUNTIF(C21:O34,"=5")</f>
        <v>1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円と球（小3）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円と球（小3）</v>
      </c>
      <c r="G7" s="101" t="str">
        <f t="shared" si="1"/>
        <v>ス</v>
      </c>
      <c r="H7" s="100" t="str">
        <f t="shared" si="1"/>
        <v>日本語</v>
      </c>
      <c r="I7" s="101" t="str">
        <f>LOOKUP(I24,$S$2:$T$69,$T$2:$T$69)</f>
        <v>語彙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円と球（小3）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95"/>
      <c r="S7" s="94">
        <v>6</v>
      </c>
      <c r="T7" s="95" t="s">
        <v>374</v>
      </c>
      <c r="U7" s="93">
        <f>COUNTIF(C21:O34,"=6")</f>
        <v>2</v>
      </c>
      <c r="V7" s="195"/>
      <c r="W7" s="9"/>
      <c r="X7" s="96" t="s">
        <v>223</v>
      </c>
      <c r="Y7" s="95" t="s">
        <v>224</v>
      </c>
      <c r="Z7" s="93">
        <f>COUNTIF(B21:P34,"=f")</f>
        <v>4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エルサルバドルの少女　ヘスース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エルサルバドルの少女　ヘスース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読書記録をつける</v>
      </c>
      <c r="J9" s="87" t="str">
        <f t="shared" ref="J9:K12" si="6">LOOKUP(J26,$X$2:$Y$43,$Y$2:$Y$43)</f>
        <v>現</v>
      </c>
      <c r="K9" s="98" t="str">
        <f t="shared" si="6"/>
        <v>数　学</v>
      </c>
      <c r="L9" s="87" t="str">
        <f>LOOKUP(L26,$S$2:$T$69,$T$2:$T$69)</f>
        <v>円の性質の利用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本の世界を広げよう</v>
      </c>
      <c r="P9" s="87" t="str">
        <f>LOOKUP(P26,$X$2:$Y$43,$Y$2:$Y$43)</f>
        <v>現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0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学校生活</v>
      </c>
      <c r="D10" s="101" t="str">
        <f t="shared" si="4"/>
        <v>ス</v>
      </c>
      <c r="E10" s="100" t="str">
        <f t="shared" si="4"/>
        <v>数　学</v>
      </c>
      <c r="F10" s="101" t="str">
        <f>LOOKUP(F27,$S$2:$T$69,$T$2:$T$69)</f>
        <v>円の性質の利用</v>
      </c>
      <c r="G10" s="101" t="str">
        <f t="shared" si="5"/>
        <v>現</v>
      </c>
      <c r="H10" s="100" t="str">
        <f t="shared" si="5"/>
        <v>理　科</v>
      </c>
      <c r="I10" s="101" t="str">
        <f>LOOKUP(I27,$S$2:$T$69,$T$2:$T$69)</f>
        <v>天体の１年の動き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読書記録をつける</v>
      </c>
      <c r="M10" s="101" t="str">
        <f t="shared" si="7"/>
        <v>現</v>
      </c>
      <c r="N10" s="100" t="str">
        <f t="shared" si="7"/>
        <v>社　会</v>
      </c>
      <c r="O10" s="101" t="str">
        <f>LOOKUP(O27,$S$2:$T$69,$T$2:$T$69)</f>
        <v>政府の役割と国民の福祉</v>
      </c>
      <c r="P10" s="101" t="str">
        <f>LOOKUP(P27,$X$2:$Y$43,$Y$2:$Y$43)</f>
        <v>現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学校生活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日本の文化</v>
      </c>
      <c r="M11" s="101" t="str">
        <f t="shared" si="7"/>
        <v>ス</v>
      </c>
      <c r="N11" s="100" t="str">
        <f t="shared" si="7"/>
        <v>家庭科</v>
      </c>
      <c r="O11" s="101" t="str">
        <f>LOOKUP(O28,$S$2:$T$69,$T$2:$T$69)</f>
        <v>学習用具・教科用語</v>
      </c>
      <c r="P11" s="101" t="str">
        <f>LOOKUP(P28,$X$2:$Y$43,$Y$2:$Y$43)</f>
        <v>ス</v>
      </c>
      <c r="Q11" s="9"/>
      <c r="R11" s="195"/>
      <c r="S11" s="86">
        <v>10</v>
      </c>
      <c r="T11" s="91"/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図　工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円と正多角形（小5）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円と正多角形（小5）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円の面積（小6）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95"/>
      <c r="S12" s="94">
        <v>11</v>
      </c>
      <c r="T12" s="95"/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季節のしおり　冬</v>
      </c>
      <c r="D14" s="87" t="str">
        <f t="shared" ref="D14:E17" si="8">LOOKUP(D31,$X$2:$Y$43,$Y$2:$Y$43)</f>
        <v>現</v>
      </c>
      <c r="E14" s="98" t="str">
        <f t="shared" si="8"/>
        <v>国　語</v>
      </c>
      <c r="F14" s="87" t="str">
        <f>LOOKUP(F31,$S$2:$T$69,$T$2:$T$69)</f>
        <v>季節のしおり　冬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円の面積（小6）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学校生活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理　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0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11</v>
      </c>
      <c r="V18" s="195"/>
      <c r="W18" s="9"/>
      <c r="X18" s="109">
        <v>50</v>
      </c>
      <c r="Y18" s="110" t="s">
        <v>241</v>
      </c>
      <c r="Z18" s="105">
        <f>COUNTIF(C21:P34,"=50")</f>
        <v>20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410</v>
      </c>
      <c r="U19" s="88">
        <f>COUNTIF(C21:O34,"=22")</f>
        <v>3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28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411</v>
      </c>
      <c r="U20" s="93">
        <f>COUNTIF(C21:O34,"=23")</f>
        <v>2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217</v>
      </c>
      <c r="O21" s="114">
        <v>22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223</v>
      </c>
      <c r="F22" s="117">
        <v>35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223</v>
      </c>
      <c r="L22" s="117">
        <v>39</v>
      </c>
      <c r="M22" s="119">
        <v>51</v>
      </c>
      <c r="N22" s="116" t="s">
        <v>220</v>
      </c>
      <c r="O22" s="117">
        <v>40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209</v>
      </c>
      <c r="F23" s="117">
        <v>53</v>
      </c>
      <c r="G23" s="119">
        <v>51</v>
      </c>
      <c r="H23" s="116" t="s">
        <v>223</v>
      </c>
      <c r="I23" s="117">
        <v>39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209</v>
      </c>
      <c r="O23" s="117">
        <v>58</v>
      </c>
      <c r="P23" s="119">
        <v>51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209</v>
      </c>
      <c r="I24" s="117">
        <v>57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95"/>
      <c r="S24" s="86">
        <v>27</v>
      </c>
      <c r="T24" s="91" t="s">
        <v>380</v>
      </c>
      <c r="U24" s="88">
        <f>COUNTIF(C21:O34,"=27")</f>
        <v>3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382</v>
      </c>
      <c r="U25" s="93">
        <f>COUNTIF(C21:O34,"=28")</f>
        <v>2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217</v>
      </c>
      <c r="L26" s="114">
        <v>23</v>
      </c>
      <c r="M26" s="115">
        <v>50</v>
      </c>
      <c r="N26" s="113" t="s">
        <v>211</v>
      </c>
      <c r="O26" s="114">
        <v>5</v>
      </c>
      <c r="P26" s="115">
        <v>50</v>
      </c>
      <c r="Q26" s="9"/>
      <c r="R26" s="195"/>
      <c r="S26" s="94">
        <v>29</v>
      </c>
      <c r="T26" s="95" t="s">
        <v>412</v>
      </c>
      <c r="U26" s="93">
        <f>COUNTIF(C21:O34,"=29")</f>
        <v>2</v>
      </c>
      <c r="V26" s="19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59</v>
      </c>
      <c r="D27" s="119">
        <v>51</v>
      </c>
      <c r="E27" s="116" t="s">
        <v>217</v>
      </c>
      <c r="F27" s="117">
        <v>23</v>
      </c>
      <c r="G27" s="118">
        <v>50</v>
      </c>
      <c r="H27" s="116" t="s">
        <v>220</v>
      </c>
      <c r="I27" s="117">
        <v>41</v>
      </c>
      <c r="J27" s="118">
        <v>50</v>
      </c>
      <c r="K27" s="116" t="s">
        <v>211</v>
      </c>
      <c r="L27" s="117">
        <v>4</v>
      </c>
      <c r="M27" s="118">
        <v>50</v>
      </c>
      <c r="N27" s="116" t="s">
        <v>223</v>
      </c>
      <c r="O27" s="117">
        <v>36</v>
      </c>
      <c r="P27" s="118">
        <v>50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209</v>
      </c>
      <c r="F28" s="117">
        <v>59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209</v>
      </c>
      <c r="L28" s="117">
        <v>53</v>
      </c>
      <c r="M28" s="119">
        <v>51</v>
      </c>
      <c r="N28" s="116" t="s">
        <v>230</v>
      </c>
      <c r="O28" s="117">
        <v>47</v>
      </c>
      <c r="P28" s="119">
        <v>51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225</v>
      </c>
      <c r="C29" s="117">
        <v>47</v>
      </c>
      <c r="D29" s="119">
        <v>51</v>
      </c>
      <c r="E29" s="116" t="s">
        <v>214</v>
      </c>
      <c r="F29" s="117">
        <v>28</v>
      </c>
      <c r="G29" s="119">
        <v>51</v>
      </c>
      <c r="H29" s="116" t="s">
        <v>214</v>
      </c>
      <c r="I29" s="117">
        <v>28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6</v>
      </c>
      <c r="D31" s="115">
        <v>50</v>
      </c>
      <c r="E31" s="113" t="s">
        <v>211</v>
      </c>
      <c r="F31" s="114">
        <v>6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7</v>
      </c>
      <c r="V31" s="19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29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12</v>
      </c>
      <c r="V32" s="19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59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413</v>
      </c>
      <c r="U33" s="88">
        <f>COUNTIF(C21:O34,"=35")</f>
        <v>1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16" t="s">
        <v>220</v>
      </c>
      <c r="C34" s="117">
        <v>44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 t="s">
        <v>414</v>
      </c>
      <c r="U34" s="93">
        <f>COUNTIF(C21:O34,"=36")</f>
        <v>1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2</v>
      </c>
      <c r="V37" s="195"/>
      <c r="W37" s="9"/>
      <c r="X37" s="2"/>
    </row>
    <row r="38" spans="1:24" ht="15.6" customHeight="1" x14ac:dyDescent="0.2">
      <c r="B38" s="80" t="s">
        <v>187</v>
      </c>
      <c r="I38" s="25"/>
      <c r="J38" s="25"/>
      <c r="K38" s="25"/>
      <c r="R38" s="195"/>
      <c r="S38" s="88"/>
      <c r="T38" s="108" t="s">
        <v>256</v>
      </c>
      <c r="U38" s="105">
        <f>SUM(U33:U37)</f>
        <v>4</v>
      </c>
      <c r="V38" s="195"/>
      <c r="W38" s="9"/>
      <c r="X38" s="2"/>
    </row>
    <row r="39" spans="1:24" ht="14.25" x14ac:dyDescent="0.15">
      <c r="A39" s="201" t="s">
        <v>68</v>
      </c>
      <c r="B39" s="202"/>
      <c r="C39" s="203" t="s">
        <v>90</v>
      </c>
      <c r="D39" s="202"/>
      <c r="E39" s="202"/>
      <c r="F39" s="203" t="s">
        <v>385</v>
      </c>
      <c r="G39" s="214"/>
      <c r="H39" s="214"/>
      <c r="I39" s="203" t="s">
        <v>146</v>
      </c>
      <c r="J39" s="215"/>
      <c r="K39" s="215"/>
      <c r="L39" s="203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415</v>
      </c>
      <c r="U39" s="88">
        <f>COUNTIF(C21:O34,"=40")</f>
        <v>1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188</v>
      </c>
      <c r="D40" s="207"/>
      <c r="E40" s="207"/>
      <c r="F40" s="206" t="s">
        <v>93</v>
      </c>
      <c r="G40" s="207"/>
      <c r="H40" s="207"/>
      <c r="I40" s="206" t="s">
        <v>128</v>
      </c>
      <c r="J40" s="208"/>
      <c r="K40" s="208"/>
      <c r="L40" s="206" t="s">
        <v>175</v>
      </c>
      <c r="M40" s="207"/>
      <c r="N40" s="207"/>
      <c r="O40" s="134" t="s">
        <v>259</v>
      </c>
      <c r="P40" s="9"/>
      <c r="R40" s="195"/>
      <c r="S40" s="129">
        <v>41</v>
      </c>
      <c r="T40" s="95" t="s">
        <v>416</v>
      </c>
      <c r="U40" s="93">
        <f>COUNTIF(C21:O34,"=41")</f>
        <v>1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96</v>
      </c>
      <c r="D41" s="207"/>
      <c r="E41" s="207"/>
      <c r="F41" s="206" t="s">
        <v>97</v>
      </c>
      <c r="G41" s="207"/>
      <c r="H41" s="207"/>
      <c r="I41" s="206" t="s">
        <v>130</v>
      </c>
      <c r="J41" s="208"/>
      <c r="K41" s="208"/>
      <c r="L41" s="206" t="s">
        <v>132</v>
      </c>
      <c r="M41" s="207"/>
      <c r="N41" s="207"/>
      <c r="O41" s="134" t="s">
        <v>313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100</v>
      </c>
      <c r="D42" s="207"/>
      <c r="E42" s="207"/>
      <c r="F42" s="206" t="s">
        <v>101</v>
      </c>
      <c r="G42" s="207"/>
      <c r="H42" s="207"/>
      <c r="I42" s="206" t="s">
        <v>132</v>
      </c>
      <c r="J42" s="208"/>
      <c r="K42" s="208"/>
      <c r="L42" s="206" t="s">
        <v>314</v>
      </c>
      <c r="M42" s="207"/>
      <c r="N42" s="207"/>
      <c r="O42" s="134" t="s">
        <v>315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2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2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5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3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3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15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L30" sqref="L3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417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406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7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407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初恋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初恋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「ない」の違いがわからない？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エルサルバドルの少女　ヘスース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エルサルバドルの少女　ヘスース</v>
      </c>
      <c r="P4" s="87" t="str">
        <f>LOOKUP(P21,$X$2:$Y$43,$Y$2:$Y$43)</f>
        <v>現</v>
      </c>
      <c r="Q4" s="9"/>
      <c r="R4" s="195"/>
      <c r="S4" s="94">
        <v>3</v>
      </c>
      <c r="T4" s="95" t="s">
        <v>408</v>
      </c>
      <c r="U4" s="93">
        <f>COUNTIF(C21:O34,"=3")</f>
        <v>2</v>
      </c>
      <c r="V4" s="195"/>
      <c r="W4" s="9"/>
      <c r="X4" s="96" t="s">
        <v>214</v>
      </c>
      <c r="Y4" s="95" t="s">
        <v>215</v>
      </c>
      <c r="Z4" s="93">
        <f>COUNTIF(B21:P34,"=c")</f>
        <v>4</v>
      </c>
      <c r="AA4" s="9"/>
    </row>
    <row r="5" spans="1:27" ht="14.1" customHeight="1" x14ac:dyDescent="0.15">
      <c r="A5" s="99">
        <v>2</v>
      </c>
      <c r="B5" s="100" t="str">
        <f>LOOKUP(B22,$X$2:$Y$43,$Y$2:$Y$43)</f>
        <v>数　学</v>
      </c>
      <c r="C5" s="101" t="str">
        <f>LOOKUP(C22,$S$2:$T$69,$T$2:$T$69)</f>
        <v>円周角と中心角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「ない」の違いがわからない？</v>
      </c>
      <c r="G5" s="101" t="str">
        <f t="shared" si="1"/>
        <v>現</v>
      </c>
      <c r="H5" s="100" t="str">
        <f t="shared" si="1"/>
        <v>数　学</v>
      </c>
      <c r="I5" s="101" t="str">
        <f>LOOKUP(I22,$S$2:$T$69,$T$2:$T$69)</f>
        <v>円周角と中心角</v>
      </c>
      <c r="J5" s="101" t="str">
        <f t="shared" si="2"/>
        <v>現</v>
      </c>
      <c r="K5" s="100" t="str">
        <f t="shared" si="2"/>
        <v>数　学</v>
      </c>
      <c r="L5" s="101" t="str">
        <f>LOOKUP(L22,$S$2:$T$69,$T$2:$T$69)</f>
        <v>円の性質の利用</v>
      </c>
      <c r="M5" s="101" t="str">
        <f t="shared" si="3"/>
        <v>現</v>
      </c>
      <c r="N5" s="100" t="str">
        <f t="shared" si="3"/>
        <v>数　学</v>
      </c>
      <c r="O5" s="101" t="str">
        <f>LOOKUP(O22,$S$2:$T$69,$T$2:$T$69)</f>
        <v>円の性質の利用</v>
      </c>
      <c r="P5" s="101" t="str">
        <f>LOOKUP(P22,$X$2:$Y$43,$Y$2:$Y$43)</f>
        <v>現</v>
      </c>
      <c r="Q5" s="9"/>
      <c r="R5" s="195"/>
      <c r="S5" s="94">
        <v>4</v>
      </c>
      <c r="T5" s="95" t="s">
        <v>409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5</v>
      </c>
      <c r="AA5" s="9"/>
    </row>
    <row r="6" spans="1:27" ht="14.1" customHeight="1" x14ac:dyDescent="0.15">
      <c r="A6" s="99">
        <v>3</v>
      </c>
      <c r="B6" s="100" t="str">
        <f>LOOKUP(B23,$X$2:$Y$43,$Y$2:$Y$43)</f>
        <v>日本語</v>
      </c>
      <c r="C6" s="101" t="str">
        <f>LOOKUP(C23,$S$2:$T$69,$T$2:$T$69)</f>
        <v>語彙</v>
      </c>
      <c r="D6" s="101" t="str">
        <f t="shared" si="0"/>
        <v>ス</v>
      </c>
      <c r="E6" s="100" t="str">
        <f t="shared" si="0"/>
        <v>数　学</v>
      </c>
      <c r="F6" s="101" t="str">
        <f>LOOKUP(F23,$S$2:$T$69,$T$2:$T$69)</f>
        <v>円周角と中心角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天体の１日の動き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社　会</v>
      </c>
      <c r="O6" s="101" t="str">
        <f>LOOKUP(O23,$S$2:$T$69,$T$2:$T$69)</f>
        <v>消費生活と経済</v>
      </c>
      <c r="P6" s="101" t="str">
        <f>LOOKUP(P23,$X$2:$Y$43,$Y$2:$Y$43)</f>
        <v>現</v>
      </c>
      <c r="Q6" s="9"/>
      <c r="R6" s="195"/>
      <c r="S6" s="94">
        <v>5</v>
      </c>
      <c r="T6" s="95" t="s">
        <v>373</v>
      </c>
      <c r="U6" s="93">
        <f>COUNTIF(C21:O34,"=5")</f>
        <v>1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社　会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語彙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円と球（小3）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円と正多角形（小5）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円と正多角形（小5）</v>
      </c>
      <c r="P7" s="101" t="str">
        <f>LOOKUP(P24,$X$2:$Y$43,$Y$2:$Y$43)</f>
        <v>ス</v>
      </c>
      <c r="Q7" s="9"/>
      <c r="R7" s="195"/>
      <c r="S7" s="94">
        <v>6</v>
      </c>
      <c r="T7" s="95" t="s">
        <v>374</v>
      </c>
      <c r="U7" s="93">
        <f>COUNTIF(C21:O34,"=6")</f>
        <v>2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読書記録をつける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読書記録をつける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季節のしおり　冬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季節のしおり　冬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音　楽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本の世界を広げよう</v>
      </c>
      <c r="G10" s="101" t="str">
        <f t="shared" si="5"/>
        <v>現</v>
      </c>
      <c r="H10" s="100" t="str">
        <f t="shared" si="5"/>
        <v>家庭科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理　科</v>
      </c>
      <c r="L10" s="101" t="str">
        <f>LOOKUP(L27,$S$2:$T$69,$T$2:$T$69)</f>
        <v>天体の１年の動き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1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日本語能力試験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円の面積（小6）</v>
      </c>
      <c r="G11" s="101" t="str">
        <f t="shared" si="5"/>
        <v>ス</v>
      </c>
      <c r="H11" s="100" t="str">
        <f t="shared" si="5"/>
        <v>社　会</v>
      </c>
      <c r="I11" s="101" t="str">
        <f>LOOKUP(I28,$S$2:$T$69,$T$2:$T$69)</f>
        <v>政府の役割と国民の福祉</v>
      </c>
      <c r="J11" s="101" t="str">
        <f t="shared" si="6"/>
        <v>現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/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家庭生活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学校生活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/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0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11</v>
      </c>
      <c r="V18" s="195"/>
      <c r="W18" s="9"/>
      <c r="X18" s="109">
        <v>50</v>
      </c>
      <c r="Y18" s="110" t="s">
        <v>241</v>
      </c>
      <c r="Z18" s="105">
        <f>COUNTIF(C21:P34,"=50")</f>
        <v>22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410</v>
      </c>
      <c r="U19" s="88">
        <f>COUNTIF(C21:O34,"=22")</f>
        <v>3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14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411</v>
      </c>
      <c r="U20" s="93">
        <f>COUNTIF(C21:O34,"=23")</f>
        <v>2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217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217</v>
      </c>
      <c r="I22" s="117">
        <v>22</v>
      </c>
      <c r="J22" s="118">
        <v>50</v>
      </c>
      <c r="K22" s="116" t="s">
        <v>217</v>
      </c>
      <c r="L22" s="117">
        <v>23</v>
      </c>
      <c r="M22" s="118">
        <v>50</v>
      </c>
      <c r="N22" s="116" t="s">
        <v>217</v>
      </c>
      <c r="O22" s="117">
        <v>23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209</v>
      </c>
      <c r="C23" s="117">
        <v>57</v>
      </c>
      <c r="D23" s="119">
        <v>51</v>
      </c>
      <c r="E23" s="116" t="s">
        <v>217</v>
      </c>
      <c r="F23" s="117">
        <v>22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223</v>
      </c>
      <c r="C24" s="117">
        <v>39</v>
      </c>
      <c r="D24" s="119">
        <v>51</v>
      </c>
      <c r="E24" s="116" t="s">
        <v>209</v>
      </c>
      <c r="F24" s="117">
        <v>57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28</v>
      </c>
      <c r="P24" s="119">
        <v>51</v>
      </c>
      <c r="Q24" s="9"/>
      <c r="R24" s="195"/>
      <c r="S24" s="86">
        <v>27</v>
      </c>
      <c r="T24" s="91" t="s">
        <v>380</v>
      </c>
      <c r="U24" s="88">
        <f>COUNTIF(C21:O34,"=27")</f>
        <v>1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382</v>
      </c>
      <c r="U25" s="93">
        <f>COUNTIF(C21:O34,"=28")</f>
        <v>2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6</v>
      </c>
      <c r="J26" s="115">
        <v>50</v>
      </c>
      <c r="K26" s="113" t="s">
        <v>211</v>
      </c>
      <c r="L26" s="114">
        <v>6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412</v>
      </c>
      <c r="U26" s="93">
        <f>COUNTIF(C21:O34,"=29")</f>
        <v>1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227</v>
      </c>
      <c r="C27" s="117">
        <v>47</v>
      </c>
      <c r="D27" s="118">
        <v>50</v>
      </c>
      <c r="E27" s="116" t="s">
        <v>211</v>
      </c>
      <c r="F27" s="117">
        <v>5</v>
      </c>
      <c r="G27" s="118">
        <v>50</v>
      </c>
      <c r="H27" s="116" t="s">
        <v>230</v>
      </c>
      <c r="I27" s="117">
        <v>47</v>
      </c>
      <c r="J27" s="118">
        <v>50</v>
      </c>
      <c r="K27" s="116" t="s">
        <v>220</v>
      </c>
      <c r="L27" s="117">
        <v>41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55</v>
      </c>
      <c r="D28" s="119">
        <v>51</v>
      </c>
      <c r="E28" s="116" t="s">
        <v>214</v>
      </c>
      <c r="F28" s="117">
        <v>29</v>
      </c>
      <c r="G28" s="119">
        <v>51</v>
      </c>
      <c r="H28" s="116" t="s">
        <v>223</v>
      </c>
      <c r="I28" s="117">
        <v>36</v>
      </c>
      <c r="J28" s="118">
        <v>50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58</v>
      </c>
      <c r="J29" s="119">
        <v>51</v>
      </c>
      <c r="K29" s="116" t="s">
        <v>209</v>
      </c>
      <c r="L29" s="117">
        <v>59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4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9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413</v>
      </c>
      <c r="U33" s="88">
        <f>COUNTIF(C21:O34,"=35")</f>
        <v>1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 t="s">
        <v>414</v>
      </c>
      <c r="U34" s="93">
        <f>COUNTIF(C21:O34,"=36")</f>
        <v>1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81" t="s">
        <v>189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0" t="s">
        <v>90</v>
      </c>
      <c r="D39" s="212"/>
      <c r="E39" s="212"/>
      <c r="F39" s="210" t="s">
        <v>385</v>
      </c>
      <c r="G39" s="216"/>
      <c r="H39" s="216"/>
      <c r="I39" s="210" t="s">
        <v>146</v>
      </c>
      <c r="J39" s="217"/>
      <c r="K39" s="217"/>
      <c r="L39" s="210" t="s">
        <v>311</v>
      </c>
      <c r="M39" s="212"/>
      <c r="N39" s="202"/>
      <c r="O39" s="133" t="s">
        <v>257</v>
      </c>
      <c r="P39" s="9"/>
      <c r="R39" s="194" t="s">
        <v>258</v>
      </c>
      <c r="S39" s="128">
        <v>40</v>
      </c>
      <c r="T39" s="91" t="s">
        <v>415</v>
      </c>
      <c r="U39" s="88">
        <f>COUNTIF(C21:O34,"=40")</f>
        <v>1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105</v>
      </c>
      <c r="D40" s="213"/>
      <c r="E40" s="213"/>
      <c r="F40" s="206" t="s">
        <v>106</v>
      </c>
      <c r="G40" s="207"/>
      <c r="H40" s="207"/>
      <c r="I40" s="206" t="s">
        <v>136</v>
      </c>
      <c r="J40" s="208"/>
      <c r="K40" s="208"/>
      <c r="L40" s="206" t="s">
        <v>108</v>
      </c>
      <c r="M40" s="213"/>
      <c r="N40" s="207"/>
      <c r="O40" s="134" t="s">
        <v>317</v>
      </c>
      <c r="P40" s="9"/>
      <c r="R40" s="195"/>
      <c r="S40" s="129">
        <v>41</v>
      </c>
      <c r="T40" s="95" t="s">
        <v>416</v>
      </c>
      <c r="U40" s="93">
        <f>COUNTIF(C21:O34,"=41")</f>
        <v>1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107</v>
      </c>
      <c r="D41" s="213"/>
      <c r="E41" s="213"/>
      <c r="F41" s="206" t="s">
        <v>108</v>
      </c>
      <c r="G41" s="207"/>
      <c r="H41" s="207"/>
      <c r="I41" s="206" t="s">
        <v>130</v>
      </c>
      <c r="J41" s="208"/>
      <c r="K41" s="208"/>
      <c r="L41" s="206" t="s">
        <v>132</v>
      </c>
      <c r="M41" s="213"/>
      <c r="N41" s="207"/>
      <c r="O41" s="134" t="s">
        <v>278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109</v>
      </c>
      <c r="D42" s="213"/>
      <c r="E42" s="213"/>
      <c r="F42" s="206" t="s">
        <v>107</v>
      </c>
      <c r="G42" s="207"/>
      <c r="H42" s="207"/>
      <c r="I42" s="206" t="s">
        <v>132</v>
      </c>
      <c r="J42" s="208"/>
      <c r="K42" s="208"/>
      <c r="L42" s="206" t="s">
        <v>318</v>
      </c>
      <c r="M42" s="213"/>
      <c r="N42" s="207"/>
      <c r="O42" s="134" t="s">
        <v>319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2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2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1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1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7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9"/>
  <sheetViews>
    <sheetView tabSelected="1" defaultGridColor="0" colorId="22" workbookViewId="0">
      <selection activeCell="H11" sqref="H11"/>
    </sheetView>
  </sheetViews>
  <sheetFormatPr defaultColWidth="10.85546875" defaultRowHeight="13.7" customHeight="1" x14ac:dyDescent="0.15"/>
  <cols>
    <col min="1" max="1" width="4.7109375" style="160" customWidth="1"/>
    <col min="2" max="2" width="7.28515625" style="160" customWidth="1"/>
    <col min="3" max="3" width="16.7109375" style="160" customWidth="1"/>
    <col min="4" max="4" width="3.5703125" style="160" customWidth="1"/>
    <col min="5" max="5" width="7.28515625" style="160" customWidth="1"/>
    <col min="6" max="6" width="16.7109375" style="160" customWidth="1"/>
    <col min="7" max="7" width="3.5703125" style="160" customWidth="1"/>
    <col min="8" max="8" width="7.28515625" style="160" customWidth="1"/>
    <col min="9" max="9" width="16.7109375" style="161" customWidth="1"/>
    <col min="10" max="10" width="3.5703125" style="161" customWidth="1"/>
    <col min="11" max="11" width="7.28515625" style="161" customWidth="1"/>
    <col min="12" max="12" width="16.7109375" style="160" customWidth="1"/>
    <col min="13" max="13" width="3.5703125" style="160" customWidth="1"/>
    <col min="14" max="14" width="7.28515625" style="160" customWidth="1"/>
    <col min="15" max="15" width="16.7109375" style="160" customWidth="1"/>
    <col min="16" max="16" width="3.5703125" style="160" customWidth="1"/>
    <col min="17" max="17" width="7.28515625" style="160" customWidth="1"/>
    <col min="18" max="18" width="16.7109375" style="160" customWidth="1"/>
    <col min="19" max="19" width="3.5703125" style="160" customWidth="1"/>
    <col min="20" max="20" width="0.85546875" customWidth="1"/>
  </cols>
  <sheetData>
    <row r="1" spans="1:19" ht="21" customHeight="1" x14ac:dyDescent="0.15">
      <c r="A1" s="218"/>
      <c r="B1" s="218"/>
      <c r="C1" s="218"/>
      <c r="D1" s="218"/>
      <c r="E1" s="218"/>
      <c r="F1" s="218"/>
      <c r="G1" s="218"/>
      <c r="H1" s="218"/>
      <c r="I1" s="219"/>
      <c r="J1" s="219"/>
      <c r="K1" s="219"/>
      <c r="L1" s="218"/>
      <c r="M1" s="218"/>
      <c r="N1" s="218"/>
      <c r="O1" s="218"/>
      <c r="P1" s="218"/>
      <c r="Q1" s="218"/>
      <c r="R1" s="218"/>
    </row>
    <row r="2" spans="1:19" ht="21" customHeight="1" x14ac:dyDescent="0.15">
      <c r="A2" s="165"/>
      <c r="B2" s="164"/>
      <c r="C2" s="263" t="s">
        <v>419</v>
      </c>
      <c r="D2" s="263"/>
      <c r="E2" s="263"/>
      <c r="F2" s="263"/>
      <c r="G2" s="263"/>
      <c r="H2" s="263"/>
      <c r="I2" s="165"/>
      <c r="J2" s="165"/>
      <c r="K2" s="164"/>
      <c r="L2" s="165"/>
      <c r="M2" s="165"/>
      <c r="N2" s="164"/>
      <c r="O2" s="165"/>
      <c r="P2" s="165"/>
      <c r="Q2" s="164"/>
      <c r="R2" s="165"/>
      <c r="S2" s="139"/>
    </row>
    <row r="3" spans="1:19" ht="21" customHeight="1" x14ac:dyDescent="0.15">
      <c r="A3" s="165"/>
      <c r="B3" s="164"/>
      <c r="C3" s="165"/>
      <c r="D3" s="165"/>
      <c r="E3" s="164"/>
      <c r="F3" s="165"/>
      <c r="G3" s="165"/>
      <c r="H3" s="164"/>
      <c r="I3" s="165"/>
      <c r="J3" s="165"/>
      <c r="K3" s="164"/>
      <c r="L3" s="165"/>
      <c r="M3" s="165"/>
      <c r="N3" s="164"/>
      <c r="O3" s="165"/>
      <c r="P3" s="165"/>
      <c r="Q3" s="164"/>
      <c r="R3" s="165"/>
      <c r="S3" s="139"/>
    </row>
    <row r="4" spans="1:19" ht="21" customHeight="1" x14ac:dyDescent="0.15">
      <c r="A4" s="165"/>
      <c r="B4" s="164"/>
      <c r="C4" s="263" t="s">
        <v>424</v>
      </c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165"/>
      <c r="S4" s="139"/>
    </row>
    <row r="5" spans="1:19" ht="21" customHeight="1" thickBot="1" x14ac:dyDescent="0.2">
      <c r="A5" s="165"/>
      <c r="B5" s="164"/>
      <c r="C5" s="165"/>
      <c r="D5" s="165"/>
      <c r="E5" s="164"/>
      <c r="F5" s="165"/>
      <c r="G5" s="165"/>
      <c r="H5" s="164"/>
      <c r="I5" s="165"/>
      <c r="J5" s="165"/>
      <c r="K5" s="164"/>
      <c r="L5" s="165"/>
      <c r="M5" s="165"/>
      <c r="N5" s="164"/>
      <c r="O5" s="165"/>
      <c r="P5" s="165"/>
      <c r="Q5" s="164"/>
      <c r="R5" s="165"/>
      <c r="S5" s="139"/>
    </row>
    <row r="6" spans="1:19" ht="21" customHeight="1" x14ac:dyDescent="0.15">
      <c r="A6" s="165"/>
      <c r="B6" s="164"/>
      <c r="C6" s="220" t="s">
        <v>34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2"/>
      <c r="R6" s="162"/>
      <c r="S6" s="139"/>
    </row>
    <row r="7" spans="1:19" ht="21" customHeight="1" x14ac:dyDescent="0.15">
      <c r="A7" s="165"/>
      <c r="B7" s="164"/>
      <c r="C7" s="223" t="s">
        <v>35</v>
      </c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5"/>
      <c r="R7" s="162"/>
      <c r="S7" s="139"/>
    </row>
    <row r="8" spans="1:19" ht="21" customHeight="1" x14ac:dyDescent="0.15">
      <c r="A8" s="165"/>
      <c r="B8" s="164"/>
      <c r="C8" s="264" t="s">
        <v>425</v>
      </c>
      <c r="D8" s="226"/>
      <c r="E8" s="227"/>
      <c r="F8" s="226"/>
      <c r="G8" s="226"/>
      <c r="H8" s="226"/>
      <c r="I8" s="162"/>
      <c r="J8" s="162"/>
      <c r="K8" s="168"/>
      <c r="L8" s="162"/>
      <c r="M8" s="162"/>
      <c r="N8" s="168"/>
      <c r="O8" s="162"/>
      <c r="P8" s="162"/>
      <c r="Q8" s="163"/>
      <c r="R8" s="162"/>
      <c r="S8" s="139"/>
    </row>
    <row r="9" spans="1:19" ht="21" customHeight="1" x14ac:dyDescent="0.15">
      <c r="A9" s="165"/>
      <c r="B9" s="164"/>
      <c r="C9" s="265" t="s">
        <v>420</v>
      </c>
      <c r="D9" s="226"/>
      <c r="E9" s="227"/>
      <c r="F9" s="226"/>
      <c r="G9" s="226"/>
      <c r="H9" s="226"/>
      <c r="I9" s="162"/>
      <c r="J9" s="162"/>
      <c r="K9" s="168"/>
      <c r="L9" s="162"/>
      <c r="M9" s="162"/>
      <c r="N9" s="168"/>
      <c r="O9" s="162"/>
      <c r="P9" s="162"/>
      <c r="Q9" s="163"/>
      <c r="R9" s="162"/>
      <c r="S9" s="139"/>
    </row>
    <row r="10" spans="1:19" ht="21" customHeight="1" x14ac:dyDescent="0.15">
      <c r="A10" s="165"/>
      <c r="B10" s="164"/>
      <c r="C10" s="265" t="s">
        <v>421</v>
      </c>
      <c r="D10" s="226"/>
      <c r="E10" s="227"/>
      <c r="F10" s="226"/>
      <c r="G10" s="226"/>
      <c r="H10" s="226"/>
      <c r="I10" s="162"/>
      <c r="J10" s="162"/>
      <c r="K10" s="168"/>
      <c r="L10" s="162"/>
      <c r="M10" s="162"/>
      <c r="N10" s="168"/>
      <c r="O10" s="162"/>
      <c r="P10" s="162"/>
      <c r="Q10" s="163"/>
      <c r="R10" s="162"/>
      <c r="S10" s="139"/>
    </row>
    <row r="11" spans="1:19" ht="21" customHeight="1" x14ac:dyDescent="0.15">
      <c r="A11" s="165"/>
      <c r="B11" s="164"/>
      <c r="C11" s="265" t="s">
        <v>422</v>
      </c>
      <c r="D11" s="226"/>
      <c r="E11" s="227"/>
      <c r="F11" s="226"/>
      <c r="G11" s="226"/>
      <c r="H11" s="226"/>
      <c r="I11" s="162"/>
      <c r="J11" s="162"/>
      <c r="K11" s="168"/>
      <c r="L11" s="162"/>
      <c r="M11" s="162"/>
      <c r="N11" s="168"/>
      <c r="O11" s="162"/>
      <c r="P11" s="162"/>
      <c r="Q11" s="163"/>
      <c r="R11" s="162"/>
      <c r="S11" s="139"/>
    </row>
    <row r="12" spans="1:19" ht="21" customHeight="1" thickBot="1" x14ac:dyDescent="0.2">
      <c r="A12" s="165"/>
      <c r="B12" s="164"/>
      <c r="C12" s="266" t="s">
        <v>423</v>
      </c>
      <c r="D12" s="228"/>
      <c r="E12" s="229"/>
      <c r="F12" s="228"/>
      <c r="G12" s="228"/>
      <c r="H12" s="228"/>
      <c r="I12" s="169"/>
      <c r="J12" s="169"/>
      <c r="K12" s="170"/>
      <c r="L12" s="169"/>
      <c r="M12" s="169"/>
      <c r="N12" s="170"/>
      <c r="O12" s="169"/>
      <c r="P12" s="169"/>
      <c r="Q12" s="171"/>
      <c r="R12" s="162"/>
      <c r="S12" s="139"/>
    </row>
    <row r="13" spans="1:19" ht="21" customHeight="1" x14ac:dyDescent="0.15">
      <c r="A13" s="165"/>
      <c r="B13" s="164"/>
      <c r="C13" s="162"/>
      <c r="D13" s="162"/>
      <c r="E13" s="168"/>
      <c r="F13" s="162"/>
      <c r="G13" s="162"/>
      <c r="H13" s="168"/>
      <c r="I13" s="162"/>
      <c r="J13" s="162"/>
      <c r="K13" s="168"/>
      <c r="L13" s="162"/>
      <c r="M13" s="162"/>
      <c r="N13" s="168"/>
      <c r="O13" s="162"/>
      <c r="P13" s="162"/>
      <c r="Q13" s="164"/>
      <c r="R13" s="165"/>
      <c r="S13" s="139"/>
    </row>
    <row r="14" spans="1:19" ht="21" customHeight="1" thickBot="1" x14ac:dyDescent="0.2">
      <c r="A14" s="230"/>
      <c r="B14" s="231" t="s">
        <v>168</v>
      </c>
      <c r="C14" s="232"/>
      <c r="D14" s="232"/>
      <c r="E14" s="232"/>
      <c r="F14" s="232"/>
      <c r="G14" s="232"/>
      <c r="H14" s="232"/>
      <c r="I14" s="233"/>
      <c r="J14" s="233"/>
      <c r="K14" s="233"/>
      <c r="L14" s="232"/>
      <c r="M14" s="166"/>
      <c r="N14" s="167"/>
      <c r="O14" s="166"/>
      <c r="P14" s="166"/>
      <c r="Q14" s="167"/>
      <c r="R14" s="165"/>
      <c r="S14" s="139"/>
    </row>
    <row r="15" spans="1:19" ht="21" customHeight="1" x14ac:dyDescent="0.15">
      <c r="A15" s="234"/>
      <c r="B15" s="235"/>
      <c r="C15" s="236" t="s">
        <v>90</v>
      </c>
      <c r="D15" s="237"/>
      <c r="E15" s="238"/>
      <c r="F15" s="236" t="s">
        <v>70</v>
      </c>
      <c r="G15" s="237"/>
      <c r="H15" s="238"/>
      <c r="I15" s="236" t="s">
        <v>433</v>
      </c>
      <c r="J15" s="237"/>
      <c r="K15" s="238"/>
      <c r="L15" s="239" t="s">
        <v>257</v>
      </c>
      <c r="M15" s="240"/>
      <c r="N15" s="241"/>
      <c r="O15" s="166"/>
      <c r="P15" s="166"/>
      <c r="Q15" s="167"/>
      <c r="R15" s="165"/>
      <c r="S15" s="139"/>
    </row>
    <row r="16" spans="1:19" ht="21" customHeight="1" thickBot="1" x14ac:dyDescent="0.2">
      <c r="A16" s="234"/>
      <c r="B16" s="235"/>
      <c r="C16" s="242" t="s">
        <v>426</v>
      </c>
      <c r="D16" s="243"/>
      <c r="E16" s="244"/>
      <c r="F16" s="242" t="s">
        <v>427</v>
      </c>
      <c r="G16" s="243"/>
      <c r="H16" s="244"/>
      <c r="I16" s="242" t="s">
        <v>428</v>
      </c>
      <c r="J16" s="243"/>
      <c r="K16" s="244"/>
      <c r="L16" s="245" t="s">
        <v>259</v>
      </c>
      <c r="M16" s="246"/>
      <c r="N16" s="247"/>
      <c r="O16" s="166"/>
      <c r="P16" s="166"/>
      <c r="Q16" s="167"/>
      <c r="R16" s="165"/>
      <c r="S16" s="139"/>
    </row>
    <row r="17" spans="1:19" ht="21" customHeight="1" thickBot="1" x14ac:dyDescent="0.2">
      <c r="A17" s="234"/>
      <c r="B17" s="248" t="s">
        <v>176</v>
      </c>
      <c r="C17" s="249"/>
      <c r="D17" s="235"/>
      <c r="E17" s="235"/>
      <c r="F17" s="249"/>
      <c r="G17" s="235"/>
      <c r="H17" s="235"/>
      <c r="I17" s="249"/>
      <c r="J17" s="250"/>
      <c r="K17" s="250"/>
      <c r="L17" s="251"/>
      <c r="M17" s="166"/>
      <c r="N17" s="167"/>
      <c r="O17" s="166"/>
      <c r="P17" s="166"/>
      <c r="Q17" s="167"/>
      <c r="R17" s="165"/>
      <c r="S17" s="139"/>
    </row>
    <row r="18" spans="1:19" ht="21" customHeight="1" x14ac:dyDescent="0.15">
      <c r="A18" s="234"/>
      <c r="B18" s="235"/>
      <c r="C18" s="252" t="s">
        <v>90</v>
      </c>
      <c r="D18" s="253"/>
      <c r="E18" s="254"/>
      <c r="F18" s="252" t="s">
        <v>70</v>
      </c>
      <c r="G18" s="253"/>
      <c r="H18" s="254"/>
      <c r="I18" s="252" t="s">
        <v>433</v>
      </c>
      <c r="J18" s="253"/>
      <c r="K18" s="254"/>
      <c r="L18" s="239" t="s">
        <v>257</v>
      </c>
      <c r="M18" s="240"/>
      <c r="N18" s="241"/>
      <c r="O18" s="166"/>
      <c r="P18" s="166"/>
      <c r="Q18" s="167"/>
      <c r="R18" s="165"/>
      <c r="S18" s="139"/>
    </row>
    <row r="19" spans="1:19" ht="21" customHeight="1" thickBot="1" x14ac:dyDescent="0.2">
      <c r="A19" s="165"/>
      <c r="B19" s="167"/>
      <c r="C19" s="242" t="s">
        <v>429</v>
      </c>
      <c r="D19" s="243"/>
      <c r="E19" s="244"/>
      <c r="F19" s="242" t="s">
        <v>430</v>
      </c>
      <c r="G19" s="243"/>
      <c r="H19" s="244"/>
      <c r="I19" s="242" t="s">
        <v>431</v>
      </c>
      <c r="J19" s="243"/>
      <c r="K19" s="244"/>
      <c r="L19" s="245" t="s">
        <v>277</v>
      </c>
      <c r="M19" s="246"/>
      <c r="N19" s="247"/>
      <c r="O19" s="166"/>
      <c r="P19" s="166"/>
      <c r="Q19" s="167"/>
      <c r="R19" s="165"/>
      <c r="S19" s="139"/>
    </row>
    <row r="20" spans="1:19" ht="21" customHeight="1" thickBot="1" x14ac:dyDescent="0.2">
      <c r="A20" s="165"/>
      <c r="B20" s="255" t="s">
        <v>182</v>
      </c>
      <c r="C20" s="166"/>
      <c r="D20" s="166"/>
      <c r="E20" s="167"/>
      <c r="F20" s="166"/>
      <c r="G20" s="166"/>
      <c r="H20" s="167"/>
      <c r="I20" s="166"/>
      <c r="J20" s="166"/>
      <c r="K20" s="167"/>
      <c r="L20" s="166"/>
      <c r="M20" s="166"/>
      <c r="N20" s="167"/>
      <c r="O20" s="166"/>
      <c r="P20" s="166"/>
      <c r="Q20" s="167"/>
      <c r="R20" s="165"/>
      <c r="S20" s="139"/>
    </row>
    <row r="21" spans="1:19" ht="21" customHeight="1" x14ac:dyDescent="0.15">
      <c r="A21" s="165"/>
      <c r="B21" s="167"/>
      <c r="C21" s="256" t="s">
        <v>90</v>
      </c>
      <c r="D21" s="257"/>
      <c r="E21" s="258"/>
      <c r="F21" s="256" t="s">
        <v>70</v>
      </c>
      <c r="G21" s="257"/>
      <c r="H21" s="258"/>
      <c r="I21" s="256" t="s">
        <v>433</v>
      </c>
      <c r="J21" s="257"/>
      <c r="K21" s="258"/>
      <c r="L21" s="239" t="s">
        <v>257</v>
      </c>
      <c r="M21" s="240"/>
      <c r="N21" s="241"/>
      <c r="O21" s="166"/>
      <c r="P21" s="166"/>
      <c r="Q21" s="167"/>
      <c r="R21" s="165"/>
      <c r="S21" s="139"/>
    </row>
    <row r="22" spans="1:19" ht="21" customHeight="1" thickBot="1" x14ac:dyDescent="0.2">
      <c r="A22" s="165"/>
      <c r="B22" s="167"/>
      <c r="C22" s="259" t="s">
        <v>435</v>
      </c>
      <c r="D22" s="260"/>
      <c r="E22" s="261"/>
      <c r="F22" s="259" t="s">
        <v>436</v>
      </c>
      <c r="G22" s="260"/>
      <c r="H22" s="261"/>
      <c r="I22" s="259" t="s">
        <v>437</v>
      </c>
      <c r="J22" s="260"/>
      <c r="K22" s="261"/>
      <c r="L22" s="245" t="s">
        <v>281</v>
      </c>
      <c r="M22" s="246"/>
      <c r="N22" s="247"/>
      <c r="O22" s="166"/>
      <c r="P22" s="166"/>
      <c r="Q22" s="167"/>
      <c r="R22" s="165"/>
      <c r="S22" s="139"/>
    </row>
    <row r="23" spans="1:19" ht="21" customHeight="1" thickBot="1" x14ac:dyDescent="0.2">
      <c r="A23" s="165"/>
      <c r="B23" s="231" t="s">
        <v>187</v>
      </c>
      <c r="C23" s="166"/>
      <c r="D23" s="166"/>
      <c r="E23" s="167"/>
      <c r="F23" s="166"/>
      <c r="G23" s="166"/>
      <c r="H23" s="167"/>
      <c r="I23" s="166"/>
      <c r="J23" s="166"/>
      <c r="K23" s="167"/>
      <c r="L23" s="166"/>
      <c r="M23" s="166"/>
      <c r="N23" s="167"/>
      <c r="O23" s="166"/>
      <c r="P23" s="166"/>
      <c r="Q23" s="167"/>
      <c r="R23" s="165"/>
      <c r="S23" s="139"/>
    </row>
    <row r="24" spans="1:19" ht="21" customHeight="1" x14ac:dyDescent="0.15">
      <c r="A24" s="165"/>
      <c r="B24" s="167"/>
      <c r="C24" s="236" t="s">
        <v>90</v>
      </c>
      <c r="D24" s="237"/>
      <c r="E24" s="238"/>
      <c r="F24" s="236" t="s">
        <v>385</v>
      </c>
      <c r="G24" s="237"/>
      <c r="H24" s="238"/>
      <c r="I24" s="236" t="s">
        <v>432</v>
      </c>
      <c r="J24" s="237"/>
      <c r="K24" s="238"/>
      <c r="L24" s="236" t="s">
        <v>311</v>
      </c>
      <c r="M24" s="237"/>
      <c r="N24" s="238"/>
      <c r="O24" s="239" t="s">
        <v>257</v>
      </c>
      <c r="P24" s="240"/>
      <c r="Q24" s="241"/>
      <c r="R24" s="165"/>
      <c r="S24" s="139"/>
    </row>
    <row r="25" spans="1:19" ht="21" customHeight="1" thickBot="1" x14ac:dyDescent="0.2">
      <c r="A25" s="165"/>
      <c r="B25" s="167"/>
      <c r="C25" s="259" t="s">
        <v>438</v>
      </c>
      <c r="D25" s="260"/>
      <c r="E25" s="261"/>
      <c r="F25" s="259" t="s">
        <v>439</v>
      </c>
      <c r="G25" s="260"/>
      <c r="H25" s="261"/>
      <c r="I25" s="259" t="s">
        <v>440</v>
      </c>
      <c r="J25" s="260"/>
      <c r="K25" s="261"/>
      <c r="L25" s="259" t="s">
        <v>441</v>
      </c>
      <c r="M25" s="260"/>
      <c r="N25" s="261"/>
      <c r="O25" s="245" t="s">
        <v>259</v>
      </c>
      <c r="P25" s="246"/>
      <c r="Q25" s="247"/>
      <c r="R25" s="165"/>
      <c r="S25" s="139"/>
    </row>
    <row r="26" spans="1:19" ht="21" customHeight="1" thickBot="1" x14ac:dyDescent="0.2">
      <c r="A26" s="165"/>
      <c r="B26" s="262" t="s">
        <v>189</v>
      </c>
      <c r="C26" s="166"/>
      <c r="D26" s="166"/>
      <c r="E26" s="167"/>
      <c r="F26" s="166"/>
      <c r="G26" s="166"/>
      <c r="H26" s="167"/>
      <c r="I26" s="166"/>
      <c r="J26" s="166"/>
      <c r="K26" s="167"/>
      <c r="L26" s="166"/>
      <c r="M26" s="166"/>
      <c r="N26" s="167"/>
      <c r="O26" s="166"/>
      <c r="P26" s="166"/>
      <c r="Q26" s="167"/>
      <c r="R26" s="165"/>
      <c r="S26" s="139"/>
    </row>
    <row r="27" spans="1:19" ht="21" customHeight="1" x14ac:dyDescent="0.15">
      <c r="A27" s="165"/>
      <c r="B27" s="167"/>
      <c r="C27" s="252" t="s">
        <v>90</v>
      </c>
      <c r="D27" s="253"/>
      <c r="E27" s="254"/>
      <c r="F27" s="252" t="s">
        <v>70</v>
      </c>
      <c r="G27" s="253"/>
      <c r="H27" s="254"/>
      <c r="I27" s="252" t="s">
        <v>434</v>
      </c>
      <c r="J27" s="253"/>
      <c r="K27" s="254"/>
      <c r="L27" s="252" t="s">
        <v>311</v>
      </c>
      <c r="M27" s="253"/>
      <c r="N27" s="254"/>
      <c r="O27" s="239" t="s">
        <v>257</v>
      </c>
      <c r="P27" s="240"/>
      <c r="Q27" s="241"/>
      <c r="R27" s="165"/>
      <c r="S27" s="139"/>
    </row>
    <row r="28" spans="1:19" ht="21" customHeight="1" thickBot="1" x14ac:dyDescent="0.2">
      <c r="A28" s="165"/>
      <c r="B28" s="167"/>
      <c r="C28" s="259" t="s">
        <v>442</v>
      </c>
      <c r="D28" s="260"/>
      <c r="E28" s="261"/>
      <c r="F28" s="259" t="s">
        <v>443</v>
      </c>
      <c r="G28" s="260"/>
      <c r="H28" s="261"/>
      <c r="I28" s="259" t="s">
        <v>437</v>
      </c>
      <c r="J28" s="260"/>
      <c r="K28" s="261"/>
      <c r="L28" s="259" t="s">
        <v>444</v>
      </c>
      <c r="M28" s="260"/>
      <c r="N28" s="261"/>
      <c r="O28" s="245" t="s">
        <v>317</v>
      </c>
      <c r="P28" s="246"/>
      <c r="Q28" s="247"/>
      <c r="R28" s="165"/>
      <c r="S28" s="139"/>
    </row>
    <row r="29" spans="1:19" ht="21" customHeight="1" thickBot="1" x14ac:dyDescent="0.2">
      <c r="A29" s="165"/>
      <c r="B29" s="255" t="s">
        <v>190</v>
      </c>
      <c r="C29" s="166"/>
      <c r="D29" s="166"/>
      <c r="E29" s="167"/>
      <c r="F29" s="166"/>
      <c r="G29" s="166"/>
      <c r="H29" s="167"/>
      <c r="I29" s="166"/>
      <c r="J29" s="166"/>
      <c r="K29" s="167"/>
      <c r="L29" s="166"/>
      <c r="M29" s="166"/>
      <c r="N29" s="167"/>
      <c r="O29" s="166"/>
      <c r="P29" s="166"/>
      <c r="Q29" s="167"/>
      <c r="R29" s="165"/>
      <c r="S29" s="139"/>
    </row>
    <row r="30" spans="1:19" ht="21" customHeight="1" x14ac:dyDescent="0.15">
      <c r="A30" s="165"/>
      <c r="B30" s="167"/>
      <c r="C30" s="256" t="s">
        <v>90</v>
      </c>
      <c r="D30" s="257"/>
      <c r="E30" s="258"/>
      <c r="F30" s="256" t="s">
        <v>70</v>
      </c>
      <c r="G30" s="257"/>
      <c r="H30" s="258"/>
      <c r="I30" s="256" t="s">
        <v>434</v>
      </c>
      <c r="J30" s="257"/>
      <c r="K30" s="258"/>
      <c r="L30" s="256" t="s">
        <v>311</v>
      </c>
      <c r="M30" s="257"/>
      <c r="N30" s="258"/>
      <c r="O30" s="239" t="s">
        <v>257</v>
      </c>
      <c r="P30" s="240"/>
      <c r="Q30" s="241"/>
      <c r="R30" s="165"/>
      <c r="S30" s="139"/>
    </row>
    <row r="31" spans="1:19" ht="21" customHeight="1" thickBot="1" x14ac:dyDescent="0.2">
      <c r="A31" s="165"/>
      <c r="B31" s="167"/>
      <c r="C31" s="259" t="s">
        <v>445</v>
      </c>
      <c r="D31" s="260"/>
      <c r="E31" s="261"/>
      <c r="F31" s="259" t="s">
        <v>446</v>
      </c>
      <c r="G31" s="260"/>
      <c r="H31" s="261"/>
      <c r="I31" s="259" t="s">
        <v>437</v>
      </c>
      <c r="J31" s="260"/>
      <c r="K31" s="261"/>
      <c r="L31" s="259" t="s">
        <v>444</v>
      </c>
      <c r="M31" s="260"/>
      <c r="N31" s="261"/>
      <c r="O31" s="245" t="s">
        <v>281</v>
      </c>
      <c r="P31" s="246"/>
      <c r="Q31" s="247"/>
      <c r="R31" s="165"/>
      <c r="S31" s="139"/>
    </row>
    <row r="32" spans="1:19" ht="21" customHeight="1" x14ac:dyDescent="0.15">
      <c r="A32" s="139"/>
      <c r="B32" s="140"/>
      <c r="C32" s="139"/>
      <c r="D32" s="139"/>
      <c r="E32" s="140"/>
      <c r="F32" s="139"/>
      <c r="G32" s="139"/>
      <c r="H32" s="140"/>
      <c r="I32" s="139"/>
      <c r="J32" s="139"/>
      <c r="K32" s="140"/>
      <c r="L32" s="139"/>
      <c r="M32" s="139"/>
      <c r="N32" s="140"/>
      <c r="O32" s="139"/>
      <c r="P32" s="139"/>
      <c r="Q32" s="140"/>
      <c r="R32" s="139"/>
      <c r="S32" s="139"/>
    </row>
    <row r="33" spans="1:20" ht="21" customHeight="1" thickBot="1" x14ac:dyDescent="0.2">
      <c r="A33" s="139"/>
      <c r="B33" s="141"/>
      <c r="C33" s="185" t="str">
        <f>小1【S2】!$C$2</f>
        <v>小1　12月　【S2】　指導ユニット　モジュール（現学年・ステップ）配当計画</v>
      </c>
      <c r="D33" s="186"/>
      <c r="E33" s="186"/>
      <c r="F33" s="186"/>
      <c r="G33" s="187"/>
      <c r="H33" s="187"/>
      <c r="I33" s="187"/>
      <c r="J33" s="187"/>
      <c r="K33" s="187"/>
      <c r="L33" s="187"/>
      <c r="M33" s="188"/>
      <c r="N33" s="187"/>
      <c r="O33" s="139"/>
      <c r="P33" s="142"/>
      <c r="Q33" s="140"/>
      <c r="R33" s="139"/>
      <c r="S33" s="139"/>
    </row>
    <row r="34" spans="1:20" ht="21" customHeight="1" x14ac:dyDescent="0.15">
      <c r="A34" s="143" t="s">
        <v>191</v>
      </c>
      <c r="B34" s="189" t="s">
        <v>192</v>
      </c>
      <c r="C34" s="190"/>
      <c r="D34" s="191"/>
      <c r="E34" s="189" t="s">
        <v>193</v>
      </c>
      <c r="F34" s="190"/>
      <c r="G34" s="191"/>
      <c r="H34" s="189" t="s">
        <v>194</v>
      </c>
      <c r="I34" s="190"/>
      <c r="J34" s="191"/>
      <c r="K34" s="189" t="s">
        <v>195</v>
      </c>
      <c r="L34" s="190"/>
      <c r="M34" s="191"/>
      <c r="N34" s="189" t="s">
        <v>196</v>
      </c>
      <c r="O34" s="190"/>
      <c r="P34" s="191"/>
      <c r="Q34" s="189" t="s">
        <v>197</v>
      </c>
      <c r="R34" s="190"/>
      <c r="S34" s="191"/>
      <c r="T34" s="9"/>
    </row>
    <row r="35" spans="1:20" ht="21" customHeight="1" x14ac:dyDescent="0.15">
      <c r="A35" s="144">
        <f>小1【S2】!$A$4</f>
        <v>1</v>
      </c>
      <c r="B35" s="145" t="str">
        <f>小1【S2】!$B$4</f>
        <v>国　語</v>
      </c>
      <c r="C35" s="146" t="str">
        <f>小1【S2】!$C$4</f>
        <v>かたかなをかこう</v>
      </c>
      <c r="D35" s="146" t="str">
        <f>小1【S2】!$D$4</f>
        <v>現</v>
      </c>
      <c r="E35" s="145" t="str">
        <f>小1【S2】!$E$4</f>
        <v>国　語</v>
      </c>
      <c r="F35" s="146" t="str">
        <f>小1【S2】!$F$4</f>
        <v>かたかなをかこう</v>
      </c>
      <c r="G35" s="146" t="str">
        <f>小1【S2】!$G$4</f>
        <v>現</v>
      </c>
      <c r="H35" s="145" t="str">
        <f>小1【S2】!$H$4</f>
        <v>国　語</v>
      </c>
      <c r="I35" s="146" t="str">
        <f>小1【S2】!$I$4</f>
        <v>まのいいりょうし</v>
      </c>
      <c r="J35" s="146" t="str">
        <f>小1【S2】!$J$4</f>
        <v>現</v>
      </c>
      <c r="K35" s="145" t="str">
        <f>小1【S2】!$K$4</f>
        <v>国　語</v>
      </c>
      <c r="L35" s="146" t="str">
        <f>小1【S2】!$L$4</f>
        <v>まのいいりょうし</v>
      </c>
      <c r="M35" s="146" t="str">
        <f>小1【S2】!$M$4</f>
        <v>現</v>
      </c>
      <c r="N35" s="145" t="str">
        <f>小1【S2】!$N$4</f>
        <v>国　語</v>
      </c>
      <c r="O35" s="146" t="str">
        <f>小1【S2】!$O$4</f>
        <v>むかしばなしがいっぱい</v>
      </c>
      <c r="P35" s="146" t="str">
        <f>小1【S2】!$P$4</f>
        <v>現</v>
      </c>
      <c r="Q35" s="145" t="str">
        <f>小1【S2】!$B$9</f>
        <v>国　語</v>
      </c>
      <c r="R35" s="146" t="str">
        <f>小1【S2】!$C$9</f>
        <v>むかしばなしがいっぱい</v>
      </c>
      <c r="S35" s="146" t="str">
        <f>小1【S2】!$D$9</f>
        <v>現</v>
      </c>
      <c r="T35" s="9"/>
    </row>
    <row r="36" spans="1:20" ht="21" customHeight="1" x14ac:dyDescent="0.15">
      <c r="A36" s="147">
        <f>小1【S2】!$A$5</f>
        <v>2</v>
      </c>
      <c r="B36" s="148" t="str">
        <f>小1【S2】!$B$5</f>
        <v>算　数</v>
      </c>
      <c r="C36" s="149" t="str">
        <f>小1【S2】!$C$5</f>
        <v>たすのかなひくのかな</v>
      </c>
      <c r="D36" s="149" t="str">
        <f>小1【S2】!$D$5</f>
        <v>現</v>
      </c>
      <c r="E36" s="148" t="str">
        <f>小1【S2】!$E$5</f>
        <v>算　数</v>
      </c>
      <c r="F36" s="149" t="str">
        <f>小1【S2】!$F$5</f>
        <v>たすのかなひくのかな</v>
      </c>
      <c r="G36" s="149" t="str">
        <f>小1【S2】!$G$5</f>
        <v>現</v>
      </c>
      <c r="H36" s="148" t="str">
        <f>小1【S2】!$H$5</f>
        <v>算　数</v>
      </c>
      <c r="I36" s="149" t="str">
        <f>小1【S2】!$I$5</f>
        <v>０の　たしざんとひきざん</v>
      </c>
      <c r="J36" s="149" t="str">
        <f>小1【S2】!$J$5</f>
        <v>現</v>
      </c>
      <c r="K36" s="148" t="str">
        <f>小1【S2】!$K$5</f>
        <v>日本語</v>
      </c>
      <c r="L36" s="149" t="str">
        <f>小1【S2】!$L$5</f>
        <v>日本の文化</v>
      </c>
      <c r="M36" s="149" t="str">
        <f>小1【S2】!$M$5</f>
        <v>ス</v>
      </c>
      <c r="N36" s="148" t="str">
        <f>小1【S2】!$N$5</f>
        <v>日本語</v>
      </c>
      <c r="O36" s="149" t="str">
        <f>小1【S2】!$O$5</f>
        <v>語彙</v>
      </c>
      <c r="P36" s="149" t="str">
        <f>小1【S2】!$P$5</f>
        <v>ス</v>
      </c>
      <c r="Q36" s="148" t="str">
        <f>小1【S2】!$B$10</f>
        <v>算　数</v>
      </c>
      <c r="R36" s="149" t="str">
        <f>小1【S2】!$C$10</f>
        <v>たしざん（小1）</v>
      </c>
      <c r="S36" s="149" t="str">
        <f>小1【S2】!$D$10</f>
        <v>ス</v>
      </c>
      <c r="T36" s="9"/>
    </row>
    <row r="37" spans="1:20" ht="21" customHeight="1" x14ac:dyDescent="0.15">
      <c r="A37" s="147">
        <f>小1【S2】!$A$6</f>
        <v>3</v>
      </c>
      <c r="B37" s="148" t="str">
        <f>小1【S2】!$B$6</f>
        <v>国　語</v>
      </c>
      <c r="C37" s="149" t="str">
        <f>小1【S2】!$C$6</f>
        <v>かたかなをみつけよう（小1）</v>
      </c>
      <c r="D37" s="149" t="str">
        <f>小1【S2】!$D$6</f>
        <v>ス</v>
      </c>
      <c r="E37" s="148" t="str">
        <f>小1【S2】!$E$6</f>
        <v>国　語</v>
      </c>
      <c r="F37" s="149" t="str">
        <f>小1【S2】!$F$6</f>
        <v>かたかなをみつけよう（小1）</v>
      </c>
      <c r="G37" s="149" t="str">
        <f>小1【S2】!$G$6</f>
        <v>ス</v>
      </c>
      <c r="H37" s="148" t="str">
        <f>小1【S2】!$H$6</f>
        <v>日本語</v>
      </c>
      <c r="I37" s="149" t="str">
        <f>小1【S2】!$I$6</f>
        <v>学校生活</v>
      </c>
      <c r="J37" s="149" t="str">
        <f>小1【S2】!$J$6</f>
        <v>ス</v>
      </c>
      <c r="K37" s="148" t="str">
        <f>小1【S2】!$K$6</f>
        <v>日本語</v>
      </c>
      <c r="L37" s="149" t="str">
        <f>小1【S2】!$L$6</f>
        <v>語彙</v>
      </c>
      <c r="M37" s="149" t="str">
        <f>小1【S2】!$M$6</f>
        <v>ス</v>
      </c>
      <c r="N37" s="148" t="str">
        <f>小1【S2】!$N$6</f>
        <v>算　数</v>
      </c>
      <c r="O37" s="149" t="str">
        <f>小1【S2】!$O$6</f>
        <v>たしざん（小1）</v>
      </c>
      <c r="P37" s="149" t="str">
        <f>小1【S2】!$P$6</f>
        <v>ス</v>
      </c>
      <c r="Q37" s="148" t="str">
        <f>小1【S2】!$B$11</f>
        <v>図　工</v>
      </c>
      <c r="R37" s="149" t="str">
        <f>小1【S2】!$C$11</f>
        <v>学習用具・教科用語</v>
      </c>
      <c r="S37" s="149" t="str">
        <f>小1【S2】!$D$11</f>
        <v>ス</v>
      </c>
      <c r="T37" s="9"/>
    </row>
    <row r="38" spans="1:20" ht="21" customHeight="1" x14ac:dyDescent="0.15">
      <c r="A38" s="147">
        <f>小1【S2】!$A$7</f>
        <v>4</v>
      </c>
      <c r="B38" s="148" t="str">
        <f>小1【S2】!$B$7</f>
        <v>算　数</v>
      </c>
      <c r="C38" s="149" t="str">
        <f>小1【S2】!$C$7</f>
        <v>ふえたりへったり（小1）</v>
      </c>
      <c r="D38" s="149" t="str">
        <f>小1【S2】!$D$7</f>
        <v>ス</v>
      </c>
      <c r="E38" s="148" t="str">
        <f>小1【S2】!$E$7</f>
        <v>算　数</v>
      </c>
      <c r="F38" s="149" t="str">
        <f>小1【S2】!$F$7</f>
        <v>ふえたりへったり（小1）</v>
      </c>
      <c r="G38" s="149" t="str">
        <f>小1【S2】!$G$7</f>
        <v>ス</v>
      </c>
      <c r="H38" s="148" t="str">
        <f>小1【S2】!$H$7</f>
        <v>算　数</v>
      </c>
      <c r="I38" s="149" t="str">
        <f>小1【S2】!$I$7</f>
        <v>ふえたりへったり（小1）</v>
      </c>
      <c r="J38" s="149" t="str">
        <f>小1【S2】!$J$7</f>
        <v>ス</v>
      </c>
      <c r="K38" s="148" t="str">
        <f>小1【S2】!$K$7</f>
        <v>日本語</v>
      </c>
      <c r="L38" s="149" t="str">
        <f>小1【S2】!$L$7</f>
        <v>家庭生活</v>
      </c>
      <c r="M38" s="149" t="str">
        <f>小1【S2】!$M$7</f>
        <v>ス</v>
      </c>
      <c r="N38" s="148" t="str">
        <f>小1【S2】!$N$7</f>
        <v>日本語</v>
      </c>
      <c r="O38" s="149" t="str">
        <f>小1【S2】!$O$7</f>
        <v>家庭生活</v>
      </c>
      <c r="P38" s="149" t="str">
        <f>小1【S2】!$P$7</f>
        <v>ス</v>
      </c>
      <c r="Q38" s="148" t="str">
        <f>小1【S2】!$B$12</f>
        <v>日本語</v>
      </c>
      <c r="R38" s="149" t="str">
        <f>小1【S2】!$C$12</f>
        <v>学校生活</v>
      </c>
      <c r="S38" s="149" t="str">
        <f>小1【S2】!$D$12</f>
        <v>ス</v>
      </c>
      <c r="T38" s="9"/>
    </row>
    <row r="39" spans="1:20" ht="21" customHeight="1" x14ac:dyDescent="0.15">
      <c r="A39" s="150"/>
      <c r="B39" s="189" t="s">
        <v>198</v>
      </c>
      <c r="C39" s="190"/>
      <c r="D39" s="191"/>
      <c r="E39" s="189" t="s">
        <v>199</v>
      </c>
      <c r="F39" s="190"/>
      <c r="G39" s="191"/>
      <c r="H39" s="189" t="s">
        <v>200</v>
      </c>
      <c r="I39" s="190"/>
      <c r="J39" s="191"/>
      <c r="K39" s="189" t="s">
        <v>201</v>
      </c>
      <c r="L39" s="190"/>
      <c r="M39" s="191"/>
      <c r="N39" s="189" t="s">
        <v>202</v>
      </c>
      <c r="O39" s="190"/>
      <c r="P39" s="191"/>
      <c r="Q39" s="189" t="s">
        <v>203</v>
      </c>
      <c r="R39" s="190"/>
      <c r="S39" s="191"/>
      <c r="T39" s="9"/>
    </row>
    <row r="40" spans="1:20" ht="21" customHeight="1" x14ac:dyDescent="0.15">
      <c r="A40" s="144">
        <f>小1【S2】!$A$4</f>
        <v>1</v>
      </c>
      <c r="B40" s="145" t="str">
        <f>小1【S2】!$E$9</f>
        <v>国　語</v>
      </c>
      <c r="C40" s="146" t="str">
        <f>小1【S2】!$F$9</f>
        <v>ともだちに、きいてみよう</v>
      </c>
      <c r="D40" s="146" t="str">
        <f>小1【S2】!$G$9</f>
        <v>現</v>
      </c>
      <c r="E40" s="145" t="str">
        <f>小1【S2】!$H$9</f>
        <v>国　語</v>
      </c>
      <c r="F40" s="146" t="str">
        <f>小1【S2】!$I$9</f>
        <v>ともだちに、きいてみよう</v>
      </c>
      <c r="G40" s="146" t="str">
        <f>小1【S2】!$J$9</f>
        <v>現</v>
      </c>
      <c r="H40" s="145" t="str">
        <f>小1【S2】!$K$9</f>
        <v>国　語</v>
      </c>
      <c r="I40" s="146" t="str">
        <f>小1【S2】!$L$9</f>
        <v>日づけとよう日</v>
      </c>
      <c r="J40" s="146" t="str">
        <f>小1【S2】!$M$9</f>
        <v>現</v>
      </c>
      <c r="K40" s="145" t="str">
        <f>小1【S2】!$N$9</f>
        <v>国　語</v>
      </c>
      <c r="L40" s="146" t="str">
        <f>小1【S2】!$O$9</f>
        <v>ずうっと、ずっと、大すきだよ</v>
      </c>
      <c r="M40" s="146" t="str">
        <f>小1【S2】!$P$9</f>
        <v>現</v>
      </c>
      <c r="N40" s="145" t="str">
        <f>小1【S2】!$B$14</f>
        <v>国　語</v>
      </c>
      <c r="O40" s="146" t="str">
        <f>小1【S2】!$C$14</f>
        <v>ずうっと、ずっと、大すきだよ</v>
      </c>
      <c r="P40" s="146" t="str">
        <f>小1【S2】!$D$14</f>
        <v>現</v>
      </c>
      <c r="Q40" s="145" t="str">
        <f>小1【S2】!$E$14</f>
        <v>算　数</v>
      </c>
      <c r="R40" s="146" t="str">
        <f>小1【S2】!$F$14</f>
        <v>ものとひとのかず</v>
      </c>
      <c r="S40" s="146" t="str">
        <f>小1【S2】!$G$14</f>
        <v>現</v>
      </c>
      <c r="T40" s="9"/>
    </row>
    <row r="41" spans="1:20" ht="21" customHeight="1" x14ac:dyDescent="0.15">
      <c r="A41" s="147">
        <f>小1【S2】!$A$5</f>
        <v>2</v>
      </c>
      <c r="B41" s="148" t="str">
        <f>小1【S2】!$E$10</f>
        <v>音　楽</v>
      </c>
      <c r="C41" s="149" t="str">
        <f>小1【S2】!$F$10</f>
        <v>学習用具・教科用語</v>
      </c>
      <c r="D41" s="149" t="str">
        <f>小1【S2】!$G$10</f>
        <v>現</v>
      </c>
      <c r="E41" s="148" t="str">
        <f>小1【S2】!$H$10</f>
        <v>算　数</v>
      </c>
      <c r="F41" s="149" t="str">
        <f>小1【S2】!$I$10</f>
        <v>０の　たしざんとひきざん</v>
      </c>
      <c r="G41" s="149" t="str">
        <f>小1【S2】!$J$10</f>
        <v>現</v>
      </c>
      <c r="H41" s="148" t="str">
        <f>小1【S2】!$K$10</f>
        <v>国　語</v>
      </c>
      <c r="I41" s="149" t="str">
        <f>小1【S2】!$L$10</f>
        <v>日づけとよう日</v>
      </c>
      <c r="J41" s="149" t="str">
        <f>小1【S2】!$M$10</f>
        <v>現</v>
      </c>
      <c r="K41" s="148" t="str">
        <f>小1【S2】!$N$10</f>
        <v>算　数</v>
      </c>
      <c r="L41" s="149" t="str">
        <f>小1【S2】!$O$10</f>
        <v>ものとひとのかず</v>
      </c>
      <c r="M41" s="149" t="str">
        <f>小1【S2】!$P$10</f>
        <v>現</v>
      </c>
      <c r="N41" s="148" t="str">
        <f>小1【S2】!$B$15</f>
        <v>日本語</v>
      </c>
      <c r="O41" s="149" t="str">
        <f>小1【S2】!$C$15</f>
        <v>家庭生活</v>
      </c>
      <c r="P41" s="149" t="str">
        <f>小1【S2】!$D$15</f>
        <v>ス</v>
      </c>
      <c r="Q41" s="148" t="str">
        <f>小1【S2】!$E$15</f>
        <v>算　数</v>
      </c>
      <c r="R41" s="149" t="str">
        <f>小1【S2】!$F$15</f>
        <v>ひきざん（小1）</v>
      </c>
      <c r="S41" s="149" t="str">
        <f>小1【S2】!$G$15</f>
        <v>ス</v>
      </c>
      <c r="T41" s="9"/>
    </row>
    <row r="42" spans="1:20" ht="21" customHeight="1" x14ac:dyDescent="0.15">
      <c r="A42" s="147">
        <f>小1【S2】!$A$6</f>
        <v>3</v>
      </c>
      <c r="B42" s="148" t="str">
        <f>小1【S2】!$E$11</f>
        <v>日本語</v>
      </c>
      <c r="C42" s="149" t="str">
        <f>小1【S2】!$F$11</f>
        <v>家庭生活</v>
      </c>
      <c r="D42" s="149" t="str">
        <f>小1【S2】!$G$11</f>
        <v>ス</v>
      </c>
      <c r="E42" s="148" t="str">
        <f>小1【S2】!$H$11</f>
        <v>日本語</v>
      </c>
      <c r="F42" s="149" t="str">
        <f>小1【S2】!$I$11</f>
        <v>学校生活</v>
      </c>
      <c r="G42" s="149" t="str">
        <f>小1【S2】!$J$11</f>
        <v>ス</v>
      </c>
      <c r="H42" s="148" t="str">
        <f>小1【S2】!$K$11</f>
        <v>日本語</v>
      </c>
      <c r="I42" s="149" t="str">
        <f>小1【S2】!$L$11</f>
        <v>語彙</v>
      </c>
      <c r="J42" s="149" t="str">
        <f>小1【S2】!$M$11</f>
        <v>ス</v>
      </c>
      <c r="K42" s="148" t="str">
        <f>小1【S2】!$N$11</f>
        <v>日本語</v>
      </c>
      <c r="L42" s="149" t="str">
        <f>小1【S2】!$O$11</f>
        <v>語彙</v>
      </c>
      <c r="M42" s="149" t="str">
        <f>小1【S2】!$P$11</f>
        <v>ス</v>
      </c>
      <c r="N42" s="148" t="str">
        <f>小1【S2】!$B$16</f>
        <v>日本語</v>
      </c>
      <c r="O42" s="149" t="str">
        <f>小1【S2】!$C$16</f>
        <v>語彙</v>
      </c>
      <c r="P42" s="149" t="str">
        <f>小1【S2】!$D$16</f>
        <v>ス</v>
      </c>
      <c r="Q42" s="148" t="str">
        <f>小1【S2】!$E$16</f>
        <v>日本語</v>
      </c>
      <c r="R42" s="149" t="str">
        <f>小1【S2】!$F$16</f>
        <v>日本の文化</v>
      </c>
      <c r="S42" s="149" t="str">
        <f>小1【S2】!$G$16</f>
        <v>ス</v>
      </c>
      <c r="T42" s="9"/>
    </row>
    <row r="43" spans="1:20" ht="21" customHeight="1" x14ac:dyDescent="0.15">
      <c r="A43" s="147">
        <f>小1【S2】!$A$7</f>
        <v>4</v>
      </c>
      <c r="B43" s="148" t="str">
        <f>小1【S2】!$E$12</f>
        <v>日本語</v>
      </c>
      <c r="C43" s="149" t="str">
        <f>小1【S2】!$F$12</f>
        <v>学校生活</v>
      </c>
      <c r="D43" s="149" t="str">
        <f>小1【S2】!$G$12</f>
        <v>ス</v>
      </c>
      <c r="E43" s="148" t="str">
        <f>小1【S2】!$H$12</f>
        <v>算　数</v>
      </c>
      <c r="F43" s="149" t="str">
        <f>小1【S2】!$I$12</f>
        <v>ひきざん（小1）</v>
      </c>
      <c r="G43" s="149" t="str">
        <f>小1【S2】!$J$12</f>
        <v>ス</v>
      </c>
      <c r="H43" s="148" t="str">
        <f>小1【S2】!$K$12</f>
        <v>算　数</v>
      </c>
      <c r="I43" s="149" t="str">
        <f>小1【S2】!$L$12</f>
        <v>ひきざん（小1）</v>
      </c>
      <c r="J43" s="149" t="str">
        <f>小1【S2】!$M$12</f>
        <v>ス</v>
      </c>
      <c r="K43" s="148" t="str">
        <f>小1【S2】!$N$12</f>
        <v>体　育</v>
      </c>
      <c r="L43" s="149" t="str">
        <f>小1【S2】!$O$12</f>
        <v>学習用具・教科用語</v>
      </c>
      <c r="M43" s="149" t="str">
        <f>小1【S2】!$P$12</f>
        <v>ス</v>
      </c>
      <c r="N43" s="148" t="str">
        <f>小1【S2】!$B$17</f>
        <v>生活科</v>
      </c>
      <c r="O43" s="149" t="str">
        <f>小1【S2】!$C$17</f>
        <v>学習用具・教科用語</v>
      </c>
      <c r="P43" s="149" t="str">
        <f>小1【S2】!$D$17</f>
        <v>ス</v>
      </c>
      <c r="Q43" s="148" t="str">
        <f>小1【S2】!$E$17</f>
        <v>日本語</v>
      </c>
      <c r="R43" s="149" t="str">
        <f>小1【S2】!$F$17</f>
        <v>学校生活</v>
      </c>
      <c r="S43" s="149" t="str">
        <f>小1【S2】!$G$17</f>
        <v>ス</v>
      </c>
      <c r="T43" s="9"/>
    </row>
    <row r="44" spans="1:20" ht="21" customHeight="1" x14ac:dyDescent="0.15">
      <c r="A44" s="150"/>
      <c r="B44" s="150"/>
      <c r="C44" s="151"/>
      <c r="D44" s="151"/>
      <c r="E44" s="150"/>
      <c r="F44" s="151"/>
      <c r="G44" s="151"/>
      <c r="H44" s="150"/>
      <c r="I44" s="152"/>
      <c r="J44" s="152"/>
      <c r="K44" s="150"/>
      <c r="L44" s="151"/>
      <c r="M44" s="151"/>
      <c r="N44" s="150"/>
      <c r="O44" s="151"/>
      <c r="P44" s="151"/>
      <c r="Q44" s="153"/>
      <c r="R44" s="154"/>
      <c r="S44" s="154"/>
    </row>
    <row r="45" spans="1:20" ht="21" customHeight="1" x14ac:dyDescent="0.15">
      <c r="A45" s="139"/>
      <c r="B45" s="140"/>
      <c r="C45" s="185" t="str">
        <f>小1【S3】!$C$2</f>
        <v>小1　12月　【S3】　指導ユニット　モジュール（現学年・ステップ）配当計画</v>
      </c>
      <c r="D45" s="186"/>
      <c r="E45" s="186"/>
      <c r="F45" s="186"/>
      <c r="G45" s="187"/>
      <c r="H45" s="187"/>
      <c r="I45" s="187"/>
      <c r="J45" s="187"/>
      <c r="K45" s="187"/>
      <c r="L45" s="187"/>
      <c r="M45" s="188"/>
      <c r="N45" s="187"/>
      <c r="O45" s="139"/>
      <c r="P45" s="139"/>
      <c r="Q45" s="140"/>
      <c r="R45" s="139"/>
      <c r="S45" s="139"/>
    </row>
    <row r="46" spans="1:20" ht="21" customHeight="1" x14ac:dyDescent="0.15">
      <c r="A46" s="143" t="s">
        <v>191</v>
      </c>
      <c r="B46" s="189" t="s">
        <v>192</v>
      </c>
      <c r="C46" s="190"/>
      <c r="D46" s="191"/>
      <c r="E46" s="189" t="s">
        <v>193</v>
      </c>
      <c r="F46" s="190"/>
      <c r="G46" s="191"/>
      <c r="H46" s="189" t="s">
        <v>194</v>
      </c>
      <c r="I46" s="190"/>
      <c r="J46" s="191"/>
      <c r="K46" s="189" t="s">
        <v>195</v>
      </c>
      <c r="L46" s="190"/>
      <c r="M46" s="191"/>
      <c r="N46" s="189" t="s">
        <v>196</v>
      </c>
      <c r="O46" s="190"/>
      <c r="P46" s="191"/>
      <c r="Q46" s="189" t="s">
        <v>197</v>
      </c>
      <c r="R46" s="190"/>
      <c r="S46" s="191"/>
      <c r="T46" s="9"/>
    </row>
    <row r="47" spans="1:20" ht="21" customHeight="1" x14ac:dyDescent="0.15">
      <c r="A47" s="144">
        <f>小1【S3】!$A$4</f>
        <v>1</v>
      </c>
      <c r="B47" s="145" t="str">
        <f>小1【S3】!$B$4</f>
        <v>国　語</v>
      </c>
      <c r="C47" s="146" t="str">
        <f>小1【S3】!$C$4</f>
        <v>かたかなをかこう</v>
      </c>
      <c r="D47" s="146" t="str">
        <f>小1【S3】!$D$4</f>
        <v>現</v>
      </c>
      <c r="E47" s="145" t="str">
        <f>小1【S3】!$E$4</f>
        <v>国　語</v>
      </c>
      <c r="F47" s="146" t="str">
        <f>小1【S3】!$F$4</f>
        <v>かたかなをかこう</v>
      </c>
      <c r="G47" s="146" t="str">
        <f>小1【S3】!$G$4</f>
        <v>現</v>
      </c>
      <c r="H47" s="145" t="str">
        <f>小1【S3】!$H$4</f>
        <v>国　語</v>
      </c>
      <c r="I47" s="146" t="str">
        <f>小1【S3】!$I$4</f>
        <v>まのいいりょうし</v>
      </c>
      <c r="J47" s="146" t="str">
        <f>小1【S3】!$J$4</f>
        <v>現</v>
      </c>
      <c r="K47" s="145" t="str">
        <f>小1【S3】!$K$4</f>
        <v>国　語</v>
      </c>
      <c r="L47" s="146" t="str">
        <f>小1【S3】!$L$4</f>
        <v>むかしばなしがいっぱい</v>
      </c>
      <c r="M47" s="146" t="str">
        <f>小1【S3】!$M$4</f>
        <v>現</v>
      </c>
      <c r="N47" s="145" t="str">
        <f>小1【S3】!$N$4</f>
        <v>国　語</v>
      </c>
      <c r="O47" s="146" t="str">
        <f>小1【S3】!$O$4</f>
        <v>むかしばなしがいっぱい</v>
      </c>
      <c r="P47" s="146" t="str">
        <f>小1【S3】!$P$4</f>
        <v>現</v>
      </c>
      <c r="Q47" s="145" t="str">
        <f>小1【S3】!$B$9</f>
        <v>国　語</v>
      </c>
      <c r="R47" s="146" t="str">
        <f>小1【S3】!$C$9</f>
        <v>ともだちに、きいてみよう</v>
      </c>
      <c r="S47" s="146" t="str">
        <f>小1【S3】!$D$9</f>
        <v>現</v>
      </c>
      <c r="T47" s="9"/>
    </row>
    <row r="48" spans="1:20" ht="21" customHeight="1" x14ac:dyDescent="0.15">
      <c r="A48" s="147">
        <f>小1【S3】!$A$5</f>
        <v>2</v>
      </c>
      <c r="B48" s="148" t="str">
        <f>小1【S3】!$B$5</f>
        <v>算　数</v>
      </c>
      <c r="C48" s="149" t="str">
        <f>小1【S3】!$C$5</f>
        <v>たすのかなひくのかな</v>
      </c>
      <c r="D48" s="149" t="str">
        <f>小1【S3】!$D$5</f>
        <v>現</v>
      </c>
      <c r="E48" s="148" t="str">
        <f>小1【S3】!$E$5</f>
        <v>国　語</v>
      </c>
      <c r="F48" s="149" t="str">
        <f>小1【S3】!$F$5</f>
        <v>まのいいりょうし</v>
      </c>
      <c r="G48" s="149" t="str">
        <f>小1【S3】!$G$5</f>
        <v>現</v>
      </c>
      <c r="H48" s="148" t="str">
        <f>小1【S3】!$H$5</f>
        <v>算　数</v>
      </c>
      <c r="I48" s="149" t="str">
        <f>小1【S3】!$I$5</f>
        <v>たすのかなひくのかな</v>
      </c>
      <c r="J48" s="149" t="str">
        <f>小1【S3】!$J$5</f>
        <v>現</v>
      </c>
      <c r="K48" s="148" t="str">
        <f>小1【S3】!$K$5</f>
        <v>算　数</v>
      </c>
      <c r="L48" s="149" t="str">
        <f>小1【S3】!$L$5</f>
        <v>０の　たしざんとひきざん</v>
      </c>
      <c r="M48" s="149" t="str">
        <f>小1【S3】!$M$5</f>
        <v>現</v>
      </c>
      <c r="N48" s="148" t="str">
        <f>小1【S3】!$N$5</f>
        <v>算　数</v>
      </c>
      <c r="O48" s="149" t="str">
        <f>小1【S3】!$O$5</f>
        <v>ものとひとのかず</v>
      </c>
      <c r="P48" s="149" t="str">
        <f>小1【S3】!$P$5</f>
        <v>現</v>
      </c>
      <c r="Q48" s="148" t="str">
        <f>小1【S3】!$B$10</f>
        <v>図　工</v>
      </c>
      <c r="R48" s="149" t="str">
        <f>小1【S3】!$C$10</f>
        <v>学習用具・教科用語</v>
      </c>
      <c r="S48" s="149" t="str">
        <f>小1【S3】!$D$10</f>
        <v>現</v>
      </c>
      <c r="T48" s="9"/>
    </row>
    <row r="49" spans="1:20" ht="21" customHeight="1" x14ac:dyDescent="0.15">
      <c r="A49" s="147">
        <f>小1【S3】!$A$6</f>
        <v>3</v>
      </c>
      <c r="B49" s="148" t="str">
        <f>小1【S3】!$B$6</f>
        <v>国　語</v>
      </c>
      <c r="C49" s="149" t="str">
        <f>小1【S3】!$C$6</f>
        <v>かたかなをみつけよう（小1）</v>
      </c>
      <c r="D49" s="149" t="str">
        <f>小1【S3】!$D$6</f>
        <v>ス</v>
      </c>
      <c r="E49" s="148" t="str">
        <f>小1【S3】!$E$6</f>
        <v>算　数</v>
      </c>
      <c r="F49" s="149" t="str">
        <f>小1【S3】!$F$6</f>
        <v>ふえたりへったり（小1）</v>
      </c>
      <c r="G49" s="149" t="str">
        <f>小1【S3】!$G$6</f>
        <v>ス</v>
      </c>
      <c r="H49" s="148" t="str">
        <f>小1【S3】!$H$6</f>
        <v>算　数</v>
      </c>
      <c r="I49" s="149" t="str">
        <f>小1【S3】!$I$6</f>
        <v>０の　たしざんとひきざん</v>
      </c>
      <c r="J49" s="149" t="str">
        <f>小1【S3】!$J$6</f>
        <v>現</v>
      </c>
      <c r="K49" s="148" t="str">
        <f>小1【S3】!$K$6</f>
        <v>日本語</v>
      </c>
      <c r="L49" s="149" t="str">
        <f>小1【S3】!$L$6</f>
        <v>日本の文化</v>
      </c>
      <c r="M49" s="149" t="str">
        <f>小1【S3】!$M$6</f>
        <v>ス</v>
      </c>
      <c r="N49" s="148" t="str">
        <f>小1【S3】!$N$6</f>
        <v>算　数</v>
      </c>
      <c r="O49" s="149" t="str">
        <f>小1【S3】!$O$6</f>
        <v>ものとひとのかず</v>
      </c>
      <c r="P49" s="149" t="str">
        <f>小1【S3】!$P$6</f>
        <v>現</v>
      </c>
      <c r="Q49" s="148" t="str">
        <f>小1【S3】!$B$11</f>
        <v>日本語</v>
      </c>
      <c r="R49" s="149" t="str">
        <f>小1【S3】!$C$11</f>
        <v>語彙</v>
      </c>
      <c r="S49" s="149" t="str">
        <f>小1【S3】!$D$11</f>
        <v>ス</v>
      </c>
      <c r="T49" s="9"/>
    </row>
    <row r="50" spans="1:20" ht="21" customHeight="1" x14ac:dyDescent="0.15">
      <c r="A50" s="147">
        <f>小1【S3】!$A$7</f>
        <v>4</v>
      </c>
      <c r="B50" s="148" t="str">
        <f>小1【S3】!$B$7</f>
        <v>日本語</v>
      </c>
      <c r="C50" s="149" t="str">
        <f>小1【S3】!$C$7</f>
        <v>語彙</v>
      </c>
      <c r="D50" s="149" t="str">
        <f>小1【S3】!$D$7</f>
        <v>ス</v>
      </c>
      <c r="E50" s="148" t="str">
        <f>小1【S3】!$E$7</f>
        <v>国　語</v>
      </c>
      <c r="F50" s="149" t="str">
        <f>小1【S3】!$F$7</f>
        <v>かたかなをみつけよう（小1）</v>
      </c>
      <c r="G50" s="149" t="str">
        <f>小1【S3】!$G$7</f>
        <v>ス</v>
      </c>
      <c r="H50" s="148" t="str">
        <f>小1【S3】!$H$7</f>
        <v>算　数</v>
      </c>
      <c r="I50" s="149" t="str">
        <f>小1【S3】!$I$7</f>
        <v>たしざん（小1）</v>
      </c>
      <c r="J50" s="149" t="str">
        <f>小1【S3】!$J$7</f>
        <v>ス</v>
      </c>
      <c r="K50" s="148" t="str">
        <f>小1【S3】!$K$7</f>
        <v>算　数</v>
      </c>
      <c r="L50" s="149" t="str">
        <f>小1【S3】!$L$7</f>
        <v>たしざん（小1）</v>
      </c>
      <c r="M50" s="149" t="str">
        <f>小1【S3】!$M$7</f>
        <v>ス</v>
      </c>
      <c r="N50" s="148" t="str">
        <f>小1【S3】!$N$7</f>
        <v>算　数</v>
      </c>
      <c r="O50" s="149" t="str">
        <f>小1【S3】!$O$7</f>
        <v>ひきざん（小1）</v>
      </c>
      <c r="P50" s="149" t="str">
        <f>小1【S3】!$P$7</f>
        <v>ス</v>
      </c>
      <c r="Q50" s="148" t="str">
        <f>小1【S3】!$B$12</f>
        <v>音　楽</v>
      </c>
      <c r="R50" s="149" t="str">
        <f>小1【S3】!$C$12</f>
        <v>学習用具・教科用語</v>
      </c>
      <c r="S50" s="149" t="str">
        <f>小1【S3】!$D$12</f>
        <v>ス</v>
      </c>
      <c r="T50" s="9"/>
    </row>
    <row r="51" spans="1:20" ht="21" customHeight="1" x14ac:dyDescent="0.15">
      <c r="A51" s="150"/>
      <c r="B51" s="189" t="s">
        <v>198</v>
      </c>
      <c r="C51" s="190"/>
      <c r="D51" s="191"/>
      <c r="E51" s="189" t="s">
        <v>199</v>
      </c>
      <c r="F51" s="190"/>
      <c r="G51" s="191"/>
      <c r="H51" s="189" t="s">
        <v>200</v>
      </c>
      <c r="I51" s="190"/>
      <c r="J51" s="191"/>
      <c r="K51" s="155"/>
      <c r="L51" s="154"/>
      <c r="M51" s="154"/>
      <c r="N51" s="153"/>
      <c r="O51" s="154"/>
      <c r="P51" s="154"/>
      <c r="Q51" s="153"/>
      <c r="R51" s="154"/>
      <c r="S51" s="154"/>
    </row>
    <row r="52" spans="1:20" ht="21" customHeight="1" x14ac:dyDescent="0.15">
      <c r="A52" s="144">
        <f>小1【S3】!$A$4</f>
        <v>1</v>
      </c>
      <c r="B52" s="145" t="str">
        <f>小1【S3】!$E$9</f>
        <v>国　語</v>
      </c>
      <c r="C52" s="146" t="str">
        <f>小1【S3】!$F$9</f>
        <v>ともだちに、きいてみよう</v>
      </c>
      <c r="D52" s="146" t="str">
        <f>小1【S3】!$G$9</f>
        <v>現</v>
      </c>
      <c r="E52" s="145" t="str">
        <f>小1【S3】!$H$9</f>
        <v>国　語</v>
      </c>
      <c r="F52" s="146" t="str">
        <f>小1【S3】!$I$9</f>
        <v>日づけとよう日</v>
      </c>
      <c r="G52" s="146" t="str">
        <f>小1【S3】!$J$9</f>
        <v>現</v>
      </c>
      <c r="H52" s="145" t="str">
        <f>小1【S3】!$K$9</f>
        <v>国　語</v>
      </c>
      <c r="I52" s="146" t="str">
        <f>小1【S3】!$L$9</f>
        <v>ずうっと、ずっと、大すきだよ</v>
      </c>
      <c r="J52" s="146" t="str">
        <f>小1【S3】!$M$9</f>
        <v>現</v>
      </c>
      <c r="K52" s="156"/>
      <c r="L52" s="139"/>
      <c r="M52" s="139"/>
      <c r="N52" s="140"/>
      <c r="O52" s="139"/>
      <c r="P52" s="139"/>
      <c r="Q52" s="140"/>
      <c r="R52" s="139"/>
      <c r="S52" s="139"/>
    </row>
    <row r="53" spans="1:20" ht="21" customHeight="1" x14ac:dyDescent="0.15">
      <c r="A53" s="147">
        <f>小1【S3】!$A$5</f>
        <v>2</v>
      </c>
      <c r="B53" s="148" t="str">
        <f>小1【S3】!$E$10</f>
        <v>国　語</v>
      </c>
      <c r="C53" s="149" t="str">
        <f>小1【S3】!$F$10</f>
        <v>日づけとよう日</v>
      </c>
      <c r="D53" s="149" t="str">
        <f>小1【S3】!$G$10</f>
        <v>現</v>
      </c>
      <c r="E53" s="148" t="str">
        <f>小1【S3】!$H$10</f>
        <v>生活科</v>
      </c>
      <c r="F53" s="149" t="str">
        <f>小1【S3】!$I$10</f>
        <v>学習用具・教科用語</v>
      </c>
      <c r="G53" s="149" t="str">
        <f>小1【S3】!$J$10</f>
        <v>現</v>
      </c>
      <c r="H53" s="148" t="str">
        <f>小1【S3】!$K$10</f>
        <v>国　語</v>
      </c>
      <c r="I53" s="149" t="str">
        <f>小1【S3】!$L$10</f>
        <v>ずうっと、ずっと、大すきだよ</v>
      </c>
      <c r="J53" s="149" t="str">
        <f>小1【S3】!$M$10</f>
        <v>現</v>
      </c>
      <c r="K53" s="156"/>
      <c r="L53" s="139"/>
      <c r="M53" s="139"/>
      <c r="N53" s="140"/>
      <c r="O53" s="139"/>
      <c r="P53" s="139"/>
      <c r="Q53" s="140"/>
      <c r="R53" s="139"/>
      <c r="S53" s="139"/>
    </row>
    <row r="54" spans="1:20" ht="21" customHeight="1" x14ac:dyDescent="0.15">
      <c r="A54" s="147">
        <f>小1【S3】!$A$6</f>
        <v>3</v>
      </c>
      <c r="B54" s="148" t="str">
        <f>小1【S3】!$E$11</f>
        <v>算　数</v>
      </c>
      <c r="C54" s="149" t="str">
        <f>小1【S3】!$F$11</f>
        <v>ひきざん（小1）</v>
      </c>
      <c r="D54" s="149" t="str">
        <f>小1【S3】!$G$11</f>
        <v>ス</v>
      </c>
      <c r="E54" s="148" t="str">
        <f>小1【S3】!$H$11</f>
        <v>日本語</v>
      </c>
      <c r="F54" s="149" t="str">
        <f>小1【S3】!$I$11</f>
        <v>語彙</v>
      </c>
      <c r="G54" s="149" t="str">
        <f>小1【S3】!$J$11</f>
        <v>ス</v>
      </c>
      <c r="H54" s="148" t="str">
        <f>小1【S3】!$K$11</f>
        <v>体　育</v>
      </c>
      <c r="I54" s="149" t="str">
        <f>小1【S3】!$L$11</f>
        <v>学習用具・教科用語</v>
      </c>
      <c r="J54" s="149" t="str">
        <f>小1【S3】!$M$11</f>
        <v>ス</v>
      </c>
      <c r="K54" s="156"/>
      <c r="L54" s="139"/>
      <c r="M54" s="139"/>
      <c r="N54" s="140"/>
      <c r="O54" s="139"/>
      <c r="P54" s="139"/>
      <c r="Q54" s="140"/>
      <c r="R54" s="139"/>
      <c r="S54" s="139"/>
    </row>
    <row r="55" spans="1:20" ht="21" customHeight="1" x14ac:dyDescent="0.15">
      <c r="A55" s="147">
        <f>小1【S3】!$A$7</f>
        <v>4</v>
      </c>
      <c r="B55" s="148" t="str">
        <f>小1【S3】!$E$12</f>
        <v>日本語</v>
      </c>
      <c r="C55" s="149" t="str">
        <f>小1【S3】!$F$12</f>
        <v>家庭生活</v>
      </c>
      <c r="D55" s="149" t="str">
        <f>小1【S3】!$G$12</f>
        <v>ス</v>
      </c>
      <c r="E55" s="148" t="str">
        <f>小1【S3】!$H$12</f>
        <v>日本語</v>
      </c>
      <c r="F55" s="149" t="str">
        <f>小1【S3】!$I$12</f>
        <v>学校生活</v>
      </c>
      <c r="G55" s="149" t="str">
        <f>小1【S3】!$J$12</f>
        <v>ス</v>
      </c>
      <c r="H55" s="148" t="str">
        <f>小1【S3】!$K$12</f>
        <v>日本語</v>
      </c>
      <c r="I55" s="149" t="str">
        <f>小1【S3】!$L$12</f>
        <v>日本語能力試験</v>
      </c>
      <c r="J55" s="149" t="str">
        <f>小1【S3】!$M$12</f>
        <v>ス</v>
      </c>
      <c r="K55" s="156"/>
      <c r="L55" s="139"/>
      <c r="M55" s="139"/>
      <c r="N55" s="140"/>
      <c r="O55" s="139"/>
      <c r="P55" s="139"/>
      <c r="Q55" s="140"/>
      <c r="R55" s="139"/>
      <c r="S55" s="139"/>
    </row>
    <row r="56" spans="1:20" ht="21" customHeight="1" x14ac:dyDescent="0.15">
      <c r="A56" s="154"/>
      <c r="B56" s="153"/>
      <c r="C56" s="154"/>
      <c r="D56" s="154"/>
      <c r="E56" s="153"/>
      <c r="F56" s="154"/>
      <c r="G56" s="154"/>
      <c r="H56" s="153"/>
      <c r="I56" s="157"/>
      <c r="J56" s="157"/>
      <c r="K56" s="140"/>
      <c r="L56" s="139"/>
      <c r="M56" s="139"/>
      <c r="N56" s="140"/>
      <c r="O56" s="139"/>
      <c r="P56" s="139"/>
      <c r="Q56" s="140"/>
      <c r="R56" s="139"/>
      <c r="S56" s="139"/>
    </row>
    <row r="57" spans="1:20" ht="21" customHeight="1" x14ac:dyDescent="0.15">
      <c r="A57" s="139"/>
      <c r="B57" s="140"/>
      <c r="C57" s="185" t="str">
        <f>小1【S4】!$C$2</f>
        <v>小1　12月　【S4】　指導ユニット　モジュール（現学年・ステップ）配当計画</v>
      </c>
      <c r="D57" s="186"/>
      <c r="E57" s="186"/>
      <c r="F57" s="186"/>
      <c r="G57" s="187"/>
      <c r="H57" s="187"/>
      <c r="I57" s="187"/>
      <c r="J57" s="187"/>
      <c r="K57" s="187"/>
      <c r="L57" s="187"/>
      <c r="M57" s="188"/>
      <c r="N57" s="187"/>
      <c r="O57" s="139"/>
      <c r="P57" s="139"/>
      <c r="Q57" s="140"/>
      <c r="R57" s="139"/>
      <c r="S57" s="139"/>
    </row>
    <row r="58" spans="1:20" ht="21" customHeight="1" x14ac:dyDescent="0.15">
      <c r="A58" s="143" t="s">
        <v>191</v>
      </c>
      <c r="B58" s="189" t="s">
        <v>192</v>
      </c>
      <c r="C58" s="190"/>
      <c r="D58" s="191"/>
      <c r="E58" s="189" t="s">
        <v>193</v>
      </c>
      <c r="F58" s="190"/>
      <c r="G58" s="191"/>
      <c r="H58" s="189" t="s">
        <v>194</v>
      </c>
      <c r="I58" s="190"/>
      <c r="J58" s="191"/>
      <c r="K58" s="189" t="s">
        <v>195</v>
      </c>
      <c r="L58" s="190"/>
      <c r="M58" s="191"/>
      <c r="N58" s="189" t="s">
        <v>196</v>
      </c>
      <c r="O58" s="190"/>
      <c r="P58" s="191"/>
      <c r="Q58" s="189" t="s">
        <v>197</v>
      </c>
      <c r="R58" s="190"/>
      <c r="S58" s="191"/>
      <c r="T58" s="9"/>
    </row>
    <row r="59" spans="1:20" ht="21" customHeight="1" x14ac:dyDescent="0.15">
      <c r="A59" s="144">
        <f>小1【S4】!$A$4</f>
        <v>1</v>
      </c>
      <c r="B59" s="145" t="str">
        <f>小1【S4】!$B$4</f>
        <v>国　語</v>
      </c>
      <c r="C59" s="146" t="str">
        <f>小1【S4】!$C$4</f>
        <v>かたかなをかこう</v>
      </c>
      <c r="D59" s="146" t="str">
        <f>小1【S4】!$D$4</f>
        <v>現</v>
      </c>
      <c r="E59" s="145" t="str">
        <f>小1【S4】!$E$4</f>
        <v>国　語</v>
      </c>
      <c r="F59" s="146" t="str">
        <f>小1【S4】!$F$4</f>
        <v>まのいいりょうし</v>
      </c>
      <c r="G59" s="146" t="str">
        <f>小1【S4】!$G$4</f>
        <v>現</v>
      </c>
      <c r="H59" s="145" t="str">
        <f>小1【S4】!$H$4</f>
        <v>国　語</v>
      </c>
      <c r="I59" s="146" t="str">
        <f>小1【S4】!$I$4</f>
        <v>まのいいりょうし</v>
      </c>
      <c r="J59" s="146" t="str">
        <f>小1【S4】!$J$4</f>
        <v>現</v>
      </c>
      <c r="K59" s="145" t="str">
        <f>小1【S4】!$K$4</f>
        <v>国　語</v>
      </c>
      <c r="L59" s="146" t="str">
        <f>小1【S4】!$L$4</f>
        <v>ともだちに、きいてみよう</v>
      </c>
      <c r="M59" s="146" t="str">
        <f>小1【S4】!$M$4</f>
        <v>現</v>
      </c>
      <c r="N59" s="145" t="str">
        <f>小1【S4】!$N$4</f>
        <v>国　語</v>
      </c>
      <c r="O59" s="146" t="str">
        <f>小1【S4】!$O$4</f>
        <v>ともだちに、きいてみよう</v>
      </c>
      <c r="P59" s="146" t="str">
        <f>小1【S4】!$P$4</f>
        <v>現</v>
      </c>
      <c r="Q59" s="145" t="str">
        <f>小1【S4】!$B$9</f>
        <v>国　語</v>
      </c>
      <c r="R59" s="146" t="str">
        <f>小1【S4】!$C$9</f>
        <v>日づけとよう日</v>
      </c>
      <c r="S59" s="146" t="str">
        <f>小1【S4】!$D$9</f>
        <v>現</v>
      </c>
      <c r="T59" s="9"/>
    </row>
    <row r="60" spans="1:20" ht="21" customHeight="1" x14ac:dyDescent="0.15">
      <c r="A60" s="147">
        <f>小1【S4】!$A$5</f>
        <v>2</v>
      </c>
      <c r="B60" s="148" t="str">
        <f>小1【S4】!$B$5</f>
        <v>国　語</v>
      </c>
      <c r="C60" s="149" t="str">
        <f>小1【S4】!$C$5</f>
        <v>かたかなをかこう</v>
      </c>
      <c r="D60" s="149" t="str">
        <f>小1【S4】!$D$5</f>
        <v>現</v>
      </c>
      <c r="E60" s="148" t="str">
        <f>小1【S4】!$E$5</f>
        <v>算　数</v>
      </c>
      <c r="F60" s="149" t="str">
        <f>小1【S4】!$F$5</f>
        <v>たすのかなひくのかな</v>
      </c>
      <c r="G60" s="149" t="str">
        <f>小1【S4】!$G$5</f>
        <v>現</v>
      </c>
      <c r="H60" s="148" t="str">
        <f>小1【S4】!$H$5</f>
        <v>国　語</v>
      </c>
      <c r="I60" s="149" t="str">
        <f>小1【S4】!$I$5</f>
        <v>むかしばなしがいっぱい</v>
      </c>
      <c r="J60" s="149" t="str">
        <f>小1【S4】!$J$5</f>
        <v>現</v>
      </c>
      <c r="K60" s="148" t="str">
        <f>小1【S4】!$K$5</f>
        <v>算　数</v>
      </c>
      <c r="L60" s="149" t="str">
        <f>小1【S4】!$L$5</f>
        <v>０の　たしざんとひきざん</v>
      </c>
      <c r="M60" s="149" t="str">
        <f>小1【S4】!$M$5</f>
        <v>現</v>
      </c>
      <c r="N60" s="148" t="str">
        <f>小1【S4】!$N$5</f>
        <v>国　語</v>
      </c>
      <c r="O60" s="149" t="str">
        <f>小1【S4】!$O$5</f>
        <v>日づけとよう日</v>
      </c>
      <c r="P60" s="149" t="str">
        <f>小1【S4】!$P$5</f>
        <v>現</v>
      </c>
      <c r="Q60" s="148" t="str">
        <f>小1【S4】!$B$10</f>
        <v>国　語</v>
      </c>
      <c r="R60" s="149" t="str">
        <f>小1【S4】!$C$10</f>
        <v>ずうっと、ずっと、大すきだよ</v>
      </c>
      <c r="S60" s="149" t="str">
        <f>小1【S4】!$D$10</f>
        <v>現</v>
      </c>
      <c r="T60" s="9"/>
    </row>
    <row r="61" spans="1:20" ht="21" customHeight="1" x14ac:dyDescent="0.15">
      <c r="A61" s="147">
        <f>小1【S4】!$A$6</f>
        <v>3</v>
      </c>
      <c r="B61" s="148" t="str">
        <f>小1【S4】!$B$6</f>
        <v>算　数</v>
      </c>
      <c r="C61" s="149" t="str">
        <f>小1【S4】!$C$6</f>
        <v>たすのかなひくのかな</v>
      </c>
      <c r="D61" s="149" t="str">
        <f>小1【S4】!$D$6</f>
        <v>現</v>
      </c>
      <c r="E61" s="148" t="str">
        <f>小1【S4】!$E$6</f>
        <v>音　楽</v>
      </c>
      <c r="F61" s="149" t="str">
        <f>小1【S4】!$F$6</f>
        <v>学習用具・教科用語</v>
      </c>
      <c r="G61" s="149" t="str">
        <f>小1【S4】!$G$6</f>
        <v>現</v>
      </c>
      <c r="H61" s="148" t="str">
        <f>小1【S4】!$H$6</f>
        <v>算　数</v>
      </c>
      <c r="I61" s="149" t="str">
        <f>小1【S4】!$I$6</f>
        <v>０の　たしざんとひきざん</v>
      </c>
      <c r="J61" s="149" t="str">
        <f>小1【S4】!$J$6</f>
        <v>現</v>
      </c>
      <c r="K61" s="148" t="str">
        <f>小1【S4】!$K$6</f>
        <v>生活科</v>
      </c>
      <c r="L61" s="149" t="str">
        <f>小1【S4】!$L$6</f>
        <v>学習用具・教科用語</v>
      </c>
      <c r="M61" s="149" t="str">
        <f>小1【S4】!$M$6</f>
        <v>現</v>
      </c>
      <c r="N61" s="148" t="str">
        <f>小1【S4】!$N$6</f>
        <v>算　数</v>
      </c>
      <c r="O61" s="149" t="str">
        <f>小1【S4】!$O$6</f>
        <v>ものとひとのかず</v>
      </c>
      <c r="P61" s="149" t="str">
        <f>小1【S4】!$P$6</f>
        <v>現</v>
      </c>
      <c r="Q61" s="148" t="str">
        <f>小1【S4】!$B$11</f>
        <v>国　語</v>
      </c>
      <c r="R61" s="149" t="str">
        <f>小1【S4】!$C$11</f>
        <v>ずうっと、ずっと、大すきだよ</v>
      </c>
      <c r="S61" s="149" t="str">
        <f>小1【S4】!$D$11</f>
        <v>現</v>
      </c>
      <c r="T61" s="9"/>
    </row>
    <row r="62" spans="1:20" ht="21" customHeight="1" thickBot="1" x14ac:dyDescent="0.2">
      <c r="A62" s="147">
        <f>小1【S4】!$A$7</f>
        <v>4</v>
      </c>
      <c r="B62" s="148" t="str">
        <f>小1【S4】!$B$7</f>
        <v>算　数</v>
      </c>
      <c r="C62" s="149" t="str">
        <f>小1【S4】!$C$7</f>
        <v>ふえたりへったり（小1）</v>
      </c>
      <c r="D62" s="149" t="str">
        <f>小1【S4】!$D$7</f>
        <v>ス</v>
      </c>
      <c r="E62" s="148" t="str">
        <f>小1【S4】!$E$7</f>
        <v>日本語</v>
      </c>
      <c r="F62" s="149" t="str">
        <f>小1【S4】!$F$7</f>
        <v>日本の文化</v>
      </c>
      <c r="G62" s="149" t="str">
        <f>小1【S4】!$G$7</f>
        <v>ス</v>
      </c>
      <c r="H62" s="148" t="str">
        <f>小1【S4】!$H$7</f>
        <v>算　数</v>
      </c>
      <c r="I62" s="149" t="str">
        <f>小1【S4】!$I$7</f>
        <v>ひきざん（小1）</v>
      </c>
      <c r="J62" s="149" t="str">
        <f>小1【S4】!$J$7</f>
        <v>ス</v>
      </c>
      <c r="K62" s="148" t="str">
        <f>小1【S4】!$K$7</f>
        <v>日本語</v>
      </c>
      <c r="L62" s="149" t="str">
        <f>小1【S4】!$L$7</f>
        <v>日本語能力試験</v>
      </c>
      <c r="M62" s="149" t="str">
        <f>小1【S4】!$M$7</f>
        <v>ス</v>
      </c>
      <c r="N62" s="148" t="str">
        <f>小1【S4】!$N$7</f>
        <v>体　育</v>
      </c>
      <c r="O62" s="149" t="str">
        <f>小1【S4】!$O$7</f>
        <v>学習用具・教科用語</v>
      </c>
      <c r="P62" s="149" t="str">
        <f>小1【S4】!$P$7</f>
        <v>ス</v>
      </c>
      <c r="Q62" s="148" t="str">
        <f>小1【S4】!$B$12</f>
        <v>日本語</v>
      </c>
      <c r="R62" s="149" t="str">
        <f>小1【S4】!$C$12</f>
        <v>語彙</v>
      </c>
      <c r="S62" s="149" t="str">
        <f>小1【S4】!$D$12</f>
        <v>ス</v>
      </c>
      <c r="T62" s="9"/>
    </row>
    <row r="63" spans="1:20" ht="21" customHeight="1" x14ac:dyDescent="0.15">
      <c r="A63" s="154"/>
      <c r="B63" s="153"/>
      <c r="C63" s="154"/>
      <c r="D63" s="154"/>
      <c r="E63" s="153"/>
      <c r="F63" s="154"/>
      <c r="G63" s="154"/>
      <c r="H63" s="153"/>
      <c r="I63" s="157"/>
      <c r="J63" s="157"/>
      <c r="K63" s="153"/>
      <c r="L63" s="154"/>
      <c r="M63" s="154"/>
      <c r="N63" s="153"/>
      <c r="O63" s="154"/>
      <c r="P63" s="154"/>
      <c r="Q63" s="153"/>
      <c r="R63" s="154"/>
      <c r="S63" s="154"/>
    </row>
    <row r="64" spans="1:20" ht="21" customHeight="1" x14ac:dyDescent="0.15">
      <c r="A64" s="139"/>
      <c r="B64" s="140"/>
      <c r="C64" s="139"/>
      <c r="D64" s="139"/>
      <c r="E64" s="140"/>
      <c r="F64" s="139"/>
      <c r="G64" s="139"/>
      <c r="H64" s="140"/>
      <c r="I64" s="158"/>
      <c r="J64" s="158"/>
      <c r="K64" s="140"/>
      <c r="L64" s="139"/>
      <c r="M64" s="139"/>
      <c r="N64" s="140"/>
      <c r="O64" s="139"/>
      <c r="P64" s="139"/>
      <c r="Q64" s="140"/>
      <c r="R64" s="139"/>
      <c r="S64" s="139"/>
    </row>
    <row r="65" spans="1:20" ht="21" customHeight="1" x14ac:dyDescent="0.15">
      <c r="A65" s="139"/>
      <c r="B65" s="141"/>
      <c r="C65" s="185" t="str">
        <f>小2【S2】!$C$2</f>
        <v>小2　12月　【S2】　指導ユニット　モジュール（現学年・ステップ）配当計画</v>
      </c>
      <c r="D65" s="186"/>
      <c r="E65" s="186"/>
      <c r="F65" s="186"/>
      <c r="G65" s="187"/>
      <c r="H65" s="187"/>
      <c r="I65" s="187"/>
      <c r="J65" s="187"/>
      <c r="K65" s="187"/>
      <c r="L65" s="187"/>
      <c r="M65" s="188"/>
      <c r="N65" s="187"/>
      <c r="O65" s="139"/>
      <c r="P65" s="142"/>
      <c r="Q65" s="140"/>
      <c r="R65" s="139"/>
      <c r="S65" s="139"/>
    </row>
    <row r="66" spans="1:20" ht="21" customHeight="1" x14ac:dyDescent="0.15">
      <c r="A66" s="143" t="s">
        <v>191</v>
      </c>
      <c r="B66" s="189" t="s">
        <v>192</v>
      </c>
      <c r="C66" s="190"/>
      <c r="D66" s="191"/>
      <c r="E66" s="189" t="s">
        <v>193</v>
      </c>
      <c r="F66" s="190"/>
      <c r="G66" s="191"/>
      <c r="H66" s="189" t="s">
        <v>194</v>
      </c>
      <c r="I66" s="190"/>
      <c r="J66" s="191"/>
      <c r="K66" s="189" t="s">
        <v>195</v>
      </c>
      <c r="L66" s="190"/>
      <c r="M66" s="191"/>
      <c r="N66" s="189" t="s">
        <v>196</v>
      </c>
      <c r="O66" s="190"/>
      <c r="P66" s="191"/>
      <c r="Q66" s="189" t="s">
        <v>197</v>
      </c>
      <c r="R66" s="190"/>
      <c r="S66" s="191"/>
      <c r="T66" s="9"/>
    </row>
    <row r="67" spans="1:20" ht="21" customHeight="1" x14ac:dyDescent="0.15">
      <c r="A67" s="144">
        <f>小2【S2】!$A$4</f>
        <v>1</v>
      </c>
      <c r="B67" s="145" t="str">
        <f>小2【S2】!$B$4</f>
        <v>国　語</v>
      </c>
      <c r="C67" s="146" t="str">
        <f>小2【S2】!$C$4</f>
        <v>にたいみ、はんたいのいみのことば</v>
      </c>
      <c r="D67" s="146" t="str">
        <f>小2【S2】!$D$4</f>
        <v>現</v>
      </c>
      <c r="E67" s="145" t="str">
        <f>小2【S2】!$E$4</f>
        <v>国　語</v>
      </c>
      <c r="F67" s="146" t="str">
        <f>小2【S2】!$F$4</f>
        <v>にたいみ、はんたいのいみのことば</v>
      </c>
      <c r="G67" s="146" t="str">
        <f>小2【S2】!$G$4</f>
        <v>現</v>
      </c>
      <c r="H67" s="145" t="str">
        <f>小2【S2】!$H$4</f>
        <v>国　語</v>
      </c>
      <c r="I67" s="146" t="str">
        <f>小2【S2】!$I$4</f>
        <v>にたいみ、はんたいのいみのことば</v>
      </c>
      <c r="J67" s="146" t="str">
        <f>小2【S2】!$J$4</f>
        <v>現</v>
      </c>
      <c r="K67" s="145" t="str">
        <f>小2【S2】!$K$4</f>
        <v>国　語</v>
      </c>
      <c r="L67" s="146" t="str">
        <f>小2【S2】!$L$4</f>
        <v>わたしはおねえさん</v>
      </c>
      <c r="M67" s="146" t="str">
        <f>小2【S2】!$M$4</f>
        <v>現</v>
      </c>
      <c r="N67" s="145" t="str">
        <f>小2【S2】!$N$4</f>
        <v>国　語</v>
      </c>
      <c r="O67" s="146" t="str">
        <f>小2【S2】!$O$4</f>
        <v>わたしはおねえさん</v>
      </c>
      <c r="P67" s="146" t="str">
        <f>小2【S2】!$P$4</f>
        <v>現</v>
      </c>
      <c r="Q67" s="145" t="str">
        <f>小2【S2】!$B$9</f>
        <v>国　語</v>
      </c>
      <c r="R67" s="146" t="str">
        <f>小2【S2】!$C$9</f>
        <v>わたしはおねえさん</v>
      </c>
      <c r="S67" s="146" t="str">
        <f>小2【S2】!$D$9</f>
        <v>現</v>
      </c>
      <c r="T67" s="9"/>
    </row>
    <row r="68" spans="1:20" ht="21" customHeight="1" x14ac:dyDescent="0.15">
      <c r="A68" s="147">
        <f>小2【S2】!$A$5</f>
        <v>2</v>
      </c>
      <c r="B68" s="148" t="str">
        <f>小2【S2】!$B$5</f>
        <v>算　数</v>
      </c>
      <c r="C68" s="149" t="str">
        <f>小2【S2】!$C$5</f>
        <v>三角形と四角形</v>
      </c>
      <c r="D68" s="149" t="str">
        <f>小2【S2】!$D$5</f>
        <v>現</v>
      </c>
      <c r="E68" s="148" t="str">
        <f>小2【S2】!$E$5</f>
        <v>算　数</v>
      </c>
      <c r="F68" s="149" t="str">
        <f>小2【S2】!$F$5</f>
        <v>三角形と四角形</v>
      </c>
      <c r="G68" s="149" t="str">
        <f>小2【S2】!$G$5</f>
        <v>現</v>
      </c>
      <c r="H68" s="148" t="str">
        <f>小2【S2】!$H$5</f>
        <v>算　数</v>
      </c>
      <c r="I68" s="149" t="str">
        <f>小2【S2】!$I$5</f>
        <v>三角形と四角形</v>
      </c>
      <c r="J68" s="149" t="str">
        <f>小2【S2】!$J$5</f>
        <v>現</v>
      </c>
      <c r="K68" s="148" t="str">
        <f>小2【S2】!$K$5</f>
        <v>日本語</v>
      </c>
      <c r="L68" s="149" t="str">
        <f>小2【S2】!$L$5</f>
        <v>日本の文化</v>
      </c>
      <c r="M68" s="149" t="str">
        <f>小2【S2】!$M$5</f>
        <v>ス</v>
      </c>
      <c r="N68" s="148" t="str">
        <f>小2【S2】!$N$5</f>
        <v>日本語</v>
      </c>
      <c r="O68" s="149" t="str">
        <f>小2【S2】!$O$5</f>
        <v>語彙</v>
      </c>
      <c r="P68" s="149" t="str">
        <f>小2【S2】!$P$5</f>
        <v>ス</v>
      </c>
      <c r="Q68" s="148" t="str">
        <f>小2【S2】!$B$10</f>
        <v>日本語</v>
      </c>
      <c r="R68" s="149" t="str">
        <f>小2【S2】!$C$10</f>
        <v>家庭生活</v>
      </c>
      <c r="S68" s="149" t="str">
        <f>小2【S2】!$D$10</f>
        <v>ス</v>
      </c>
      <c r="T68" s="9"/>
    </row>
    <row r="69" spans="1:20" ht="21" customHeight="1" x14ac:dyDescent="0.15">
      <c r="A69" s="147">
        <f>小2【S2】!$A$6</f>
        <v>3</v>
      </c>
      <c r="B69" s="148" t="str">
        <f>小2【S2】!$B$6</f>
        <v>国　語</v>
      </c>
      <c r="C69" s="149" t="str">
        <f>小2【S2】!$C$6</f>
        <v>にている漢字（小1）</v>
      </c>
      <c r="D69" s="149" t="str">
        <f>小2【S2】!$D$6</f>
        <v>ス</v>
      </c>
      <c r="E69" s="148" t="str">
        <f>小2【S2】!$E$6</f>
        <v>日本語</v>
      </c>
      <c r="F69" s="149" t="str">
        <f>小2【S2】!$F$6</f>
        <v>学校生活</v>
      </c>
      <c r="G69" s="149" t="str">
        <f>小2【S2】!$G$6</f>
        <v>ス</v>
      </c>
      <c r="H69" s="148" t="str">
        <f>小2【S2】!$H$6</f>
        <v>国　語</v>
      </c>
      <c r="I69" s="149" t="str">
        <f>小2【S2】!$I$6</f>
        <v>にている漢字（小1）</v>
      </c>
      <c r="J69" s="149" t="str">
        <f>小2【S2】!$J$6</f>
        <v>ス</v>
      </c>
      <c r="K69" s="148" t="str">
        <f>小2【S2】!$K$6</f>
        <v>日本語</v>
      </c>
      <c r="L69" s="149" t="str">
        <f>小2【S2】!$L$6</f>
        <v>語彙</v>
      </c>
      <c r="M69" s="149" t="str">
        <f>小2【S2】!$M$6</f>
        <v>ス</v>
      </c>
      <c r="N69" s="148" t="str">
        <f>小2【S2】!$N$6</f>
        <v>国　語</v>
      </c>
      <c r="O69" s="149" t="str">
        <f>小2【S2】!$O$6</f>
        <v>かずとかんじ（小1）</v>
      </c>
      <c r="P69" s="149" t="str">
        <f>小2【S2】!$P$6</f>
        <v>ス</v>
      </c>
      <c r="Q69" s="148" t="str">
        <f>小2【S2】!$B$11</f>
        <v>図　工</v>
      </c>
      <c r="R69" s="149" t="str">
        <f>小2【S2】!$C$11</f>
        <v>学習用具・教科用語</v>
      </c>
      <c r="S69" s="149" t="str">
        <f>小2【S2】!$D$11</f>
        <v>ス</v>
      </c>
      <c r="T69" s="9"/>
    </row>
    <row r="70" spans="1:20" ht="21" customHeight="1" x14ac:dyDescent="0.15">
      <c r="A70" s="147">
        <f>小2【S2】!$A$7</f>
        <v>4</v>
      </c>
      <c r="B70" s="148" t="str">
        <f>小2【S2】!$B$7</f>
        <v>算　数</v>
      </c>
      <c r="C70" s="149" t="str">
        <f>小2【S2】!$C$7</f>
        <v>いろいろなかたち（小1）</v>
      </c>
      <c r="D70" s="149" t="str">
        <f>小2【S2】!$D$7</f>
        <v>ス</v>
      </c>
      <c r="E70" s="148" t="str">
        <f>小2【S2】!$E$7</f>
        <v>算　数</v>
      </c>
      <c r="F70" s="149" t="str">
        <f>小2【S2】!$F$7</f>
        <v>いろいろなかたち（小1）</v>
      </c>
      <c r="G70" s="149" t="str">
        <f>小2【S2】!$G$7</f>
        <v>ス</v>
      </c>
      <c r="H70" s="148" t="str">
        <f>小2【S2】!$H$7</f>
        <v>算　数</v>
      </c>
      <c r="I70" s="149" t="str">
        <f>小2【S2】!$I$7</f>
        <v>いろいろなかたち（小1）</v>
      </c>
      <c r="J70" s="149" t="str">
        <f>小2【S2】!$J$7</f>
        <v>ス</v>
      </c>
      <c r="K70" s="148" t="str">
        <f>小2【S2】!$K$7</f>
        <v>算　数</v>
      </c>
      <c r="L70" s="149" t="str">
        <f>小2【S2】!$L$7</f>
        <v>いろいろなかたち（小1）</v>
      </c>
      <c r="M70" s="149" t="str">
        <f>小2【S2】!$M$7</f>
        <v>ス</v>
      </c>
      <c r="N70" s="148" t="str">
        <f>小2【S2】!$N$7</f>
        <v>日本語</v>
      </c>
      <c r="O70" s="149" t="str">
        <f>小2【S2】!$O$7</f>
        <v>家庭生活</v>
      </c>
      <c r="P70" s="149" t="str">
        <f>小2【S2】!$P$7</f>
        <v>ス</v>
      </c>
      <c r="Q70" s="148" t="str">
        <f>小2【S2】!$B$12</f>
        <v>日本語</v>
      </c>
      <c r="R70" s="149" t="str">
        <f>小2【S2】!$C$12</f>
        <v>学校生活</v>
      </c>
      <c r="S70" s="149" t="str">
        <f>小2【S2】!$D$12</f>
        <v>ス</v>
      </c>
      <c r="T70" s="9"/>
    </row>
    <row r="71" spans="1:20" ht="21" customHeight="1" x14ac:dyDescent="0.15">
      <c r="A71" s="150"/>
      <c r="B71" s="189" t="s">
        <v>198</v>
      </c>
      <c r="C71" s="190"/>
      <c r="D71" s="191"/>
      <c r="E71" s="189" t="s">
        <v>199</v>
      </c>
      <c r="F71" s="190"/>
      <c r="G71" s="191"/>
      <c r="H71" s="189" t="s">
        <v>200</v>
      </c>
      <c r="I71" s="190"/>
      <c r="J71" s="191"/>
      <c r="K71" s="189" t="s">
        <v>201</v>
      </c>
      <c r="L71" s="190"/>
      <c r="M71" s="191"/>
      <c r="N71" s="189" t="s">
        <v>202</v>
      </c>
      <c r="O71" s="190"/>
      <c r="P71" s="191"/>
      <c r="Q71" s="189" t="s">
        <v>203</v>
      </c>
      <c r="R71" s="190"/>
      <c r="S71" s="191"/>
      <c r="T71" s="9"/>
    </row>
    <row r="72" spans="1:20" ht="21" customHeight="1" x14ac:dyDescent="0.15">
      <c r="A72" s="144">
        <f>小2【S2】!$A$4</f>
        <v>1</v>
      </c>
      <c r="B72" s="145" t="str">
        <f>小2【S2】!$E$9</f>
        <v>国　語</v>
      </c>
      <c r="C72" s="146" t="str">
        <f>小2【S2】!$F$9</f>
        <v>かん字の広場④</v>
      </c>
      <c r="D72" s="146" t="str">
        <f>小2【S2】!$G$9</f>
        <v>現</v>
      </c>
      <c r="E72" s="145" t="str">
        <f>小2【S2】!$H$9</f>
        <v>国　語</v>
      </c>
      <c r="F72" s="146" t="str">
        <f>小2【S2】!$I$9</f>
        <v>かん字の広場④</v>
      </c>
      <c r="G72" s="146" t="str">
        <f>小2【S2】!$J$9</f>
        <v>現</v>
      </c>
      <c r="H72" s="145" t="str">
        <f>小2【S2】!$K$9</f>
        <v>国　語</v>
      </c>
      <c r="I72" s="146" t="str">
        <f>小2【S2】!$L$9</f>
        <v>かん字の広場④</v>
      </c>
      <c r="J72" s="146" t="str">
        <f>小2【S2】!$M$9</f>
        <v>現</v>
      </c>
      <c r="K72" s="145" t="str">
        <f>小2【S2】!$N$9</f>
        <v>国　語</v>
      </c>
      <c r="L72" s="146" t="str">
        <f>小2【S2】!$O$9</f>
        <v>冬がいっぱい</v>
      </c>
      <c r="M72" s="146" t="str">
        <f>小2【S2】!$P$9</f>
        <v>現</v>
      </c>
      <c r="N72" s="145" t="str">
        <f>小2【S2】!$B$14</f>
        <v>国　語</v>
      </c>
      <c r="O72" s="146" t="str">
        <f>小2【S2】!$C$14</f>
        <v>冬がいっぱい</v>
      </c>
      <c r="P72" s="146" t="str">
        <f>小2【S2】!$D$14</f>
        <v>現</v>
      </c>
      <c r="Q72" s="145" t="str">
        <f>小2【S2】!$E$14</f>
        <v>算　数</v>
      </c>
      <c r="R72" s="146" t="str">
        <f>小2【S2】!$F$14</f>
        <v>三角形と四角形</v>
      </c>
      <c r="S72" s="146" t="str">
        <f>小2【S2】!$G$14</f>
        <v>現</v>
      </c>
      <c r="T72" s="9"/>
    </row>
    <row r="73" spans="1:20" ht="21" customHeight="1" x14ac:dyDescent="0.15">
      <c r="A73" s="147">
        <f>小2【S2】!$A$5</f>
        <v>2</v>
      </c>
      <c r="B73" s="148" t="str">
        <f>小2【S2】!$E$10</f>
        <v>音　楽</v>
      </c>
      <c r="C73" s="149" t="str">
        <f>小2【S2】!$F$10</f>
        <v>学習用具・教科用語</v>
      </c>
      <c r="D73" s="149" t="str">
        <f>小2【S2】!$G$10</f>
        <v>現</v>
      </c>
      <c r="E73" s="148" t="str">
        <f>小2【S2】!$H$10</f>
        <v>算　数</v>
      </c>
      <c r="F73" s="149" t="str">
        <f>小2【S2】!$I$10</f>
        <v>三角形と四角形</v>
      </c>
      <c r="G73" s="149" t="str">
        <f>小2【S2】!$J$10</f>
        <v>現</v>
      </c>
      <c r="H73" s="148" t="str">
        <f>小2【S2】!$K$10</f>
        <v>国　語</v>
      </c>
      <c r="I73" s="149" t="str">
        <f>小2【S2】!$L$10</f>
        <v>冬がいっぱい</v>
      </c>
      <c r="J73" s="149" t="str">
        <f>小2【S2】!$M$10</f>
        <v>現</v>
      </c>
      <c r="K73" s="148" t="str">
        <f>小2【S2】!$N$10</f>
        <v>算　数</v>
      </c>
      <c r="L73" s="149" t="str">
        <f>小2【S2】!$O$10</f>
        <v>三角形と四角形</v>
      </c>
      <c r="M73" s="149" t="str">
        <f>小2【S2】!$P$10</f>
        <v>現</v>
      </c>
      <c r="N73" s="148" t="str">
        <f>小2【S2】!$B$15</f>
        <v>日本語</v>
      </c>
      <c r="O73" s="149" t="str">
        <f>小2【S2】!$C$15</f>
        <v>日本語能力試験</v>
      </c>
      <c r="P73" s="149" t="str">
        <f>小2【S2】!$D$15</f>
        <v>ス</v>
      </c>
      <c r="Q73" s="148" t="str">
        <f>小2【S2】!$E$15</f>
        <v>算　数</v>
      </c>
      <c r="R73" s="149" t="str">
        <f>小2【S2】!$F$15</f>
        <v>学習用具・教科用語</v>
      </c>
      <c r="S73" s="149" t="str">
        <f>小2【S2】!$G$15</f>
        <v>ス</v>
      </c>
      <c r="T73" s="9"/>
    </row>
    <row r="74" spans="1:20" ht="21" customHeight="1" x14ac:dyDescent="0.15">
      <c r="A74" s="147">
        <f>小2【S2】!$A$6</f>
        <v>3</v>
      </c>
      <c r="B74" s="148" t="str">
        <f>小2【S2】!$E$11</f>
        <v>国　語</v>
      </c>
      <c r="C74" s="149" t="str">
        <f>小2【S2】!$F$11</f>
        <v>かずとかんじ（小1）</v>
      </c>
      <c r="D74" s="149" t="str">
        <f>小2【S2】!$G$11</f>
        <v>ス</v>
      </c>
      <c r="E74" s="148" t="str">
        <f>小2【S2】!$H$11</f>
        <v>日本語</v>
      </c>
      <c r="F74" s="149" t="str">
        <f>小2【S2】!$I$11</f>
        <v>家庭生活</v>
      </c>
      <c r="G74" s="149" t="str">
        <f>小2【S2】!$J$11</f>
        <v>ス</v>
      </c>
      <c r="H74" s="148" t="str">
        <f>小2【S2】!$K$11</f>
        <v>日本語</v>
      </c>
      <c r="I74" s="149" t="str">
        <f>小2【S2】!$L$11</f>
        <v>語彙</v>
      </c>
      <c r="J74" s="149" t="str">
        <f>小2【S2】!$M$11</f>
        <v>ス</v>
      </c>
      <c r="K74" s="148" t="str">
        <f>小2【S2】!$N$11</f>
        <v>日本語</v>
      </c>
      <c r="L74" s="149" t="str">
        <f>小2【S2】!$O$11</f>
        <v>学校生活</v>
      </c>
      <c r="M74" s="149" t="str">
        <f>小2【S2】!$P$11</f>
        <v>ス</v>
      </c>
      <c r="N74" s="148" t="str">
        <f>小2【S2】!$B$16</f>
        <v>日本語</v>
      </c>
      <c r="O74" s="149" t="str">
        <f>小2【S2】!$C$16</f>
        <v>語彙</v>
      </c>
      <c r="P74" s="149" t="str">
        <f>小2【S2】!$D$16</f>
        <v>ス</v>
      </c>
      <c r="Q74" s="148" t="str">
        <f>小2【S2】!$E$16</f>
        <v>日本語</v>
      </c>
      <c r="R74" s="149" t="str">
        <f>小2【S2】!$F$16</f>
        <v>日本の文化</v>
      </c>
      <c r="S74" s="149" t="str">
        <f>小2【S2】!$G$16</f>
        <v>ス</v>
      </c>
      <c r="T74" s="9"/>
    </row>
    <row r="75" spans="1:20" ht="21" customHeight="1" x14ac:dyDescent="0.15">
      <c r="A75" s="147">
        <f>小2【S2】!$A$7</f>
        <v>4</v>
      </c>
      <c r="B75" s="148" t="str">
        <f>小2【S2】!$E$12</f>
        <v>算　数</v>
      </c>
      <c r="C75" s="149" t="str">
        <f>小2【S2】!$F$12</f>
        <v>学習用具・教科用語</v>
      </c>
      <c r="D75" s="149" t="str">
        <f>小2【S2】!$G$12</f>
        <v>ス</v>
      </c>
      <c r="E75" s="148" t="str">
        <f>小2【S2】!$H$12</f>
        <v>算　数</v>
      </c>
      <c r="F75" s="149" t="str">
        <f>小2【S2】!$I$12</f>
        <v>学習用具・教科用語</v>
      </c>
      <c r="G75" s="149" t="str">
        <f>小2【S2】!$J$12</f>
        <v>ス</v>
      </c>
      <c r="H75" s="148" t="str">
        <f>小2【S2】!$K$12</f>
        <v>算　数</v>
      </c>
      <c r="I75" s="149" t="str">
        <f>小2【S2】!$L$12</f>
        <v>学習用具・教科用語</v>
      </c>
      <c r="J75" s="149" t="str">
        <f>小2【S2】!$M$12</f>
        <v>ス</v>
      </c>
      <c r="K75" s="148" t="str">
        <f>小2【S2】!$N$12</f>
        <v>体　育</v>
      </c>
      <c r="L75" s="149" t="str">
        <f>小2【S2】!$O$12</f>
        <v>学習用具・教科用語</v>
      </c>
      <c r="M75" s="149" t="str">
        <f>小2【S2】!$P$12</f>
        <v>ス</v>
      </c>
      <c r="N75" s="148" t="str">
        <f>小2【S2】!$B$17</f>
        <v>生活科</v>
      </c>
      <c r="O75" s="149" t="str">
        <f>小2【S2】!$C$17</f>
        <v>学習用具・教科用語</v>
      </c>
      <c r="P75" s="149" t="str">
        <f>小2【S2】!$D$17</f>
        <v>ス</v>
      </c>
      <c r="Q75" s="148" t="str">
        <f>小2【S2】!$E$17</f>
        <v>日本語</v>
      </c>
      <c r="R75" s="149" t="str">
        <f>小2【S2】!$F$17</f>
        <v>日本語能力試験</v>
      </c>
      <c r="S75" s="149" t="str">
        <f>小2【S2】!$G$17</f>
        <v>ス</v>
      </c>
      <c r="T75" s="9"/>
    </row>
    <row r="76" spans="1:20" ht="21" customHeight="1" x14ac:dyDescent="0.15">
      <c r="A76" s="150"/>
      <c r="B76" s="150"/>
      <c r="C76" s="151"/>
      <c r="D76" s="151"/>
      <c r="E76" s="150"/>
      <c r="F76" s="151"/>
      <c r="G76" s="151"/>
      <c r="H76" s="150"/>
      <c r="I76" s="152"/>
      <c r="J76" s="152"/>
      <c r="K76" s="150"/>
      <c r="L76" s="151"/>
      <c r="M76" s="151"/>
      <c r="N76" s="150"/>
      <c r="O76" s="151"/>
      <c r="P76" s="151"/>
      <c r="Q76" s="153"/>
      <c r="R76" s="154"/>
      <c r="S76" s="154"/>
    </row>
    <row r="77" spans="1:20" ht="21" customHeight="1" x14ac:dyDescent="0.15">
      <c r="A77" s="139"/>
      <c r="B77" s="140"/>
      <c r="C77" s="185" t="str">
        <f>小2【S3】!$C$2</f>
        <v>小2　12月　【S3】　指導ユニット　モジュール（現学年・ステップ）配当計画</v>
      </c>
      <c r="D77" s="186"/>
      <c r="E77" s="186"/>
      <c r="F77" s="186"/>
      <c r="G77" s="187"/>
      <c r="H77" s="187"/>
      <c r="I77" s="187"/>
      <c r="J77" s="187"/>
      <c r="K77" s="187"/>
      <c r="L77" s="187"/>
      <c r="M77" s="188"/>
      <c r="N77" s="187"/>
      <c r="O77" s="139"/>
      <c r="P77" s="139"/>
      <c r="Q77" s="140"/>
      <c r="R77" s="139"/>
      <c r="S77" s="139"/>
    </row>
    <row r="78" spans="1:20" ht="21" customHeight="1" x14ac:dyDescent="0.15">
      <c r="A78" s="143" t="s">
        <v>191</v>
      </c>
      <c r="B78" s="189" t="s">
        <v>192</v>
      </c>
      <c r="C78" s="190"/>
      <c r="D78" s="191"/>
      <c r="E78" s="189" t="s">
        <v>193</v>
      </c>
      <c r="F78" s="190"/>
      <c r="G78" s="191"/>
      <c r="H78" s="189" t="s">
        <v>194</v>
      </c>
      <c r="I78" s="190"/>
      <c r="J78" s="191"/>
      <c r="K78" s="189" t="s">
        <v>195</v>
      </c>
      <c r="L78" s="190"/>
      <c r="M78" s="191"/>
      <c r="N78" s="189" t="s">
        <v>196</v>
      </c>
      <c r="O78" s="190"/>
      <c r="P78" s="191"/>
      <c r="Q78" s="189" t="s">
        <v>197</v>
      </c>
      <c r="R78" s="190"/>
      <c r="S78" s="191"/>
      <c r="T78" s="9"/>
    </row>
    <row r="79" spans="1:20" ht="21" customHeight="1" x14ac:dyDescent="0.15">
      <c r="A79" s="144">
        <f>小2【S3】!$A$4</f>
        <v>1</v>
      </c>
      <c r="B79" s="145" t="str">
        <f>小2【S3】!$B$4</f>
        <v>国　語</v>
      </c>
      <c r="C79" s="146" t="str">
        <f>小2【S3】!$C$4</f>
        <v>にたいみ、はんたいのいみのことば</v>
      </c>
      <c r="D79" s="146" t="str">
        <f>小2【S3】!$D$4</f>
        <v>現</v>
      </c>
      <c r="E79" s="145" t="str">
        <f>小2【S3】!$E$4</f>
        <v>国　語</v>
      </c>
      <c r="F79" s="146" t="str">
        <f>小2【S3】!$F$4</f>
        <v>にたいみ、はんたいのいみのことば</v>
      </c>
      <c r="G79" s="146" t="str">
        <f>小2【S3】!$G$4</f>
        <v>現</v>
      </c>
      <c r="H79" s="145" t="str">
        <f>小2【S3】!$H$4</f>
        <v>国　語</v>
      </c>
      <c r="I79" s="146" t="str">
        <f>小2【S3】!$I$4</f>
        <v>わたしはおねえさん</v>
      </c>
      <c r="J79" s="146" t="str">
        <f>小2【S3】!$J$4</f>
        <v>現</v>
      </c>
      <c r="K79" s="145" t="str">
        <f>小2【S3】!$K$4</f>
        <v>国　語</v>
      </c>
      <c r="L79" s="146" t="str">
        <f>小2【S3】!$L$4</f>
        <v>わたしはおねえさん</v>
      </c>
      <c r="M79" s="146" t="str">
        <f>小2【S3】!$M$4</f>
        <v>現</v>
      </c>
      <c r="N79" s="145" t="str">
        <f>小2【S3】!$N$4</f>
        <v>国　語</v>
      </c>
      <c r="O79" s="146" t="str">
        <f>小2【S3】!$O$4</f>
        <v>わたしはおねえさん</v>
      </c>
      <c r="P79" s="146" t="str">
        <f>小2【S3】!$P$4</f>
        <v>現</v>
      </c>
      <c r="Q79" s="145" t="str">
        <f>小2【S3】!$B$9</f>
        <v>国　語</v>
      </c>
      <c r="R79" s="146" t="str">
        <f>小2【S3】!$C$9</f>
        <v>かん字の広場④</v>
      </c>
      <c r="S79" s="146" t="str">
        <f>小2【S3】!$D$9</f>
        <v>現</v>
      </c>
      <c r="T79" s="9"/>
    </row>
    <row r="80" spans="1:20" ht="21" customHeight="1" x14ac:dyDescent="0.15">
      <c r="A80" s="147">
        <f>小2【S3】!$A$5</f>
        <v>2</v>
      </c>
      <c r="B80" s="148" t="str">
        <f>小2【S3】!$B$5</f>
        <v>算　数</v>
      </c>
      <c r="C80" s="149" t="str">
        <f>小2【S3】!$C$5</f>
        <v>三角形と四角形</v>
      </c>
      <c r="D80" s="149" t="str">
        <f>小2【S3】!$D$5</f>
        <v>現</v>
      </c>
      <c r="E80" s="148" t="str">
        <f>小2【S3】!$E$5</f>
        <v>国　語</v>
      </c>
      <c r="F80" s="149" t="str">
        <f>小2【S3】!$F$5</f>
        <v>にたいみ、はんたいのいみのことば</v>
      </c>
      <c r="G80" s="149" t="str">
        <f>小2【S3】!$G$5</f>
        <v>現</v>
      </c>
      <c r="H80" s="148" t="str">
        <f>小2【S3】!$H$5</f>
        <v>算　数</v>
      </c>
      <c r="I80" s="149" t="str">
        <f>小2【S3】!$I$5</f>
        <v>三角形と四角形</v>
      </c>
      <c r="J80" s="149" t="str">
        <f>小2【S3】!$J$5</f>
        <v>現</v>
      </c>
      <c r="K80" s="148" t="str">
        <f>小2【S3】!$K$5</f>
        <v>算　数</v>
      </c>
      <c r="L80" s="149" t="str">
        <f>小2【S3】!$L$5</f>
        <v>三角形と四角形</v>
      </c>
      <c r="M80" s="149" t="str">
        <f>小2【S3】!$M$5</f>
        <v>現</v>
      </c>
      <c r="N80" s="148" t="str">
        <f>小2【S3】!$N$5</f>
        <v>算　数</v>
      </c>
      <c r="O80" s="149" t="str">
        <f>小2【S3】!$O$5</f>
        <v>三角形と四角形</v>
      </c>
      <c r="P80" s="149" t="str">
        <f>小2【S3】!$P$5</f>
        <v>現</v>
      </c>
      <c r="Q80" s="148" t="str">
        <f>小2【S3】!$B$10</f>
        <v>図　工</v>
      </c>
      <c r="R80" s="149" t="str">
        <f>小2【S3】!$C$10</f>
        <v>学習用具・教科用語</v>
      </c>
      <c r="S80" s="149" t="str">
        <f>小2【S3】!$D$10</f>
        <v>現</v>
      </c>
      <c r="T80" s="9"/>
    </row>
    <row r="81" spans="1:20" ht="21" customHeight="1" x14ac:dyDescent="0.15">
      <c r="A81" s="147">
        <f>小2【S3】!$A$6</f>
        <v>3</v>
      </c>
      <c r="B81" s="148" t="str">
        <f>小2【S3】!$B$6</f>
        <v>国　語</v>
      </c>
      <c r="C81" s="149" t="str">
        <f>小2【S3】!$C$6</f>
        <v>にている漢字（小1）</v>
      </c>
      <c r="D81" s="149" t="str">
        <f>小2【S3】!$D$6</f>
        <v>ス</v>
      </c>
      <c r="E81" s="148" t="str">
        <f>小2【S3】!$E$6</f>
        <v>算　数</v>
      </c>
      <c r="F81" s="149" t="str">
        <f>小2【S3】!$F$6</f>
        <v>いろいろなかたち（小1）</v>
      </c>
      <c r="G81" s="149" t="str">
        <f>小2【S3】!$G$6</f>
        <v>ス</v>
      </c>
      <c r="H81" s="148" t="str">
        <f>小2【S3】!$H$6</f>
        <v>算　数</v>
      </c>
      <c r="I81" s="149" t="str">
        <f>小2【S3】!$I$6</f>
        <v>三角形と四角形</v>
      </c>
      <c r="J81" s="149" t="str">
        <f>小2【S3】!$J$6</f>
        <v>現</v>
      </c>
      <c r="K81" s="148" t="str">
        <f>小2【S3】!$K$6</f>
        <v>日本語</v>
      </c>
      <c r="L81" s="149" t="str">
        <f>小2【S3】!$L$6</f>
        <v>日本の文化</v>
      </c>
      <c r="M81" s="149" t="str">
        <f>小2【S3】!$M$6</f>
        <v>ス</v>
      </c>
      <c r="N81" s="148" t="str">
        <f>小2【S3】!$N$6</f>
        <v>算　数</v>
      </c>
      <c r="O81" s="149" t="str">
        <f>小2【S3】!$O$6</f>
        <v>三角形と四角形</v>
      </c>
      <c r="P81" s="149" t="str">
        <f>小2【S3】!$P$6</f>
        <v>現</v>
      </c>
      <c r="Q81" s="148" t="str">
        <f>小2【S3】!$B$11</f>
        <v>日本語</v>
      </c>
      <c r="R81" s="149" t="str">
        <f>小2【S3】!$C$11</f>
        <v>家庭生活</v>
      </c>
      <c r="S81" s="149" t="str">
        <f>小2【S3】!$D$11</f>
        <v>ス</v>
      </c>
      <c r="T81" s="9"/>
    </row>
    <row r="82" spans="1:20" ht="21" customHeight="1" x14ac:dyDescent="0.15">
      <c r="A82" s="147">
        <f>小2【S3】!$A$7</f>
        <v>4</v>
      </c>
      <c r="B82" s="148" t="str">
        <f>小2【S3】!$B$7</f>
        <v>日本語</v>
      </c>
      <c r="C82" s="149" t="str">
        <f>小2【S3】!$C$7</f>
        <v>語彙</v>
      </c>
      <c r="D82" s="149" t="str">
        <f>小2【S3】!$D$7</f>
        <v>ス</v>
      </c>
      <c r="E82" s="148" t="str">
        <f>小2【S3】!$E$7</f>
        <v>国　語</v>
      </c>
      <c r="F82" s="149" t="str">
        <f>小2【S3】!$F$7</f>
        <v>かずとかんじ（小1）</v>
      </c>
      <c r="G82" s="149" t="str">
        <f>小2【S3】!$G$7</f>
        <v>ス</v>
      </c>
      <c r="H82" s="148" t="str">
        <f>小2【S3】!$H$7</f>
        <v>算　数</v>
      </c>
      <c r="I82" s="149" t="str">
        <f>小2【S3】!$I$7</f>
        <v>いろいろなかたち（小1）</v>
      </c>
      <c r="J82" s="149" t="str">
        <f>小2【S3】!$J$7</f>
        <v>ス</v>
      </c>
      <c r="K82" s="148" t="str">
        <f>小2【S3】!$K$7</f>
        <v>算　数</v>
      </c>
      <c r="L82" s="149" t="str">
        <f>小2【S3】!$L$7</f>
        <v>いろいろなかたち（小1）</v>
      </c>
      <c r="M82" s="149" t="str">
        <f>小2【S3】!$M$7</f>
        <v>ス</v>
      </c>
      <c r="N82" s="148" t="str">
        <f>小2【S3】!$N$7</f>
        <v>算　数</v>
      </c>
      <c r="O82" s="149" t="str">
        <f>小2【S3】!$O$7</f>
        <v>学習用具・教科用語</v>
      </c>
      <c r="P82" s="149" t="str">
        <f>小2【S3】!$P$7</f>
        <v>ス</v>
      </c>
      <c r="Q82" s="148" t="str">
        <f>小2【S3】!$B$12</f>
        <v>音　楽</v>
      </c>
      <c r="R82" s="149" t="str">
        <f>小2【S3】!$C$12</f>
        <v>学習用具・教科用語</v>
      </c>
      <c r="S82" s="149" t="str">
        <f>小2【S3】!$D$12</f>
        <v>ス</v>
      </c>
      <c r="T82" s="9"/>
    </row>
    <row r="83" spans="1:20" ht="21" customHeight="1" x14ac:dyDescent="0.15">
      <c r="A83" s="150"/>
      <c r="B83" s="189" t="s">
        <v>198</v>
      </c>
      <c r="C83" s="190"/>
      <c r="D83" s="191"/>
      <c r="E83" s="189" t="s">
        <v>199</v>
      </c>
      <c r="F83" s="190"/>
      <c r="G83" s="191"/>
      <c r="H83" s="189" t="s">
        <v>200</v>
      </c>
      <c r="I83" s="190"/>
      <c r="J83" s="191"/>
      <c r="K83" s="155"/>
      <c r="L83" s="154"/>
      <c r="M83" s="154"/>
      <c r="N83" s="153"/>
      <c r="O83" s="154"/>
      <c r="P83" s="154"/>
      <c r="Q83" s="153"/>
      <c r="R83" s="154"/>
      <c r="S83" s="154"/>
    </row>
    <row r="84" spans="1:20" ht="21" customHeight="1" x14ac:dyDescent="0.15">
      <c r="A84" s="144">
        <f>小2【S3】!$A$4</f>
        <v>1</v>
      </c>
      <c r="B84" s="145" t="str">
        <f>小2【S3】!$E$9</f>
        <v>国　語</v>
      </c>
      <c r="C84" s="146" t="str">
        <f>小2【S3】!$F$9</f>
        <v>かん字の広場④</v>
      </c>
      <c r="D84" s="146" t="str">
        <f>小2【S3】!$G$9</f>
        <v>現</v>
      </c>
      <c r="E84" s="145" t="str">
        <f>小2【S3】!$H$9</f>
        <v>国　語</v>
      </c>
      <c r="F84" s="146" t="str">
        <f>小2【S3】!$I$9</f>
        <v>冬がいっぱい</v>
      </c>
      <c r="G84" s="146" t="str">
        <f>小2【S3】!$J$9</f>
        <v>現</v>
      </c>
      <c r="H84" s="145" t="str">
        <f>小2【S3】!$K$9</f>
        <v>国　語</v>
      </c>
      <c r="I84" s="146" t="str">
        <f>小2【S3】!$L$9</f>
        <v>冬がいっぱい</v>
      </c>
      <c r="J84" s="146" t="str">
        <f>小2【S3】!$M$9</f>
        <v>現</v>
      </c>
      <c r="K84" s="156"/>
      <c r="L84" s="139"/>
      <c r="M84" s="139"/>
      <c r="N84" s="140"/>
      <c r="O84" s="139"/>
      <c r="P84" s="139"/>
      <c r="Q84" s="140"/>
      <c r="R84" s="139"/>
      <c r="S84" s="139"/>
    </row>
    <row r="85" spans="1:20" ht="21" customHeight="1" x14ac:dyDescent="0.15">
      <c r="A85" s="147">
        <f>小2【S3】!$A$5</f>
        <v>2</v>
      </c>
      <c r="B85" s="148" t="str">
        <f>小2【S3】!$E$10</f>
        <v>国　語</v>
      </c>
      <c r="C85" s="149" t="str">
        <f>小2【S3】!$F$10</f>
        <v>かん字の広場④</v>
      </c>
      <c r="D85" s="149" t="str">
        <f>小2【S3】!$G$10</f>
        <v>現</v>
      </c>
      <c r="E85" s="148" t="str">
        <f>小2【S3】!$H$10</f>
        <v>生活科</v>
      </c>
      <c r="F85" s="149" t="str">
        <f>小2【S3】!$I$10</f>
        <v>学習用具・教科用語</v>
      </c>
      <c r="G85" s="149" t="str">
        <f>小2【S3】!$J$10</f>
        <v>現</v>
      </c>
      <c r="H85" s="148" t="str">
        <f>小2【S3】!$K$10</f>
        <v>国　語</v>
      </c>
      <c r="I85" s="149" t="str">
        <f>小2【S3】!$L$10</f>
        <v>冬がいっぱい</v>
      </c>
      <c r="J85" s="149" t="str">
        <f>小2【S3】!$M$10</f>
        <v>現</v>
      </c>
      <c r="K85" s="156"/>
      <c r="L85" s="139"/>
      <c r="M85" s="139"/>
      <c r="N85" s="140"/>
      <c r="O85" s="139"/>
      <c r="P85" s="139"/>
      <c r="Q85" s="140"/>
      <c r="R85" s="139"/>
      <c r="S85" s="139"/>
    </row>
    <row r="86" spans="1:20" ht="21" customHeight="1" x14ac:dyDescent="0.15">
      <c r="A86" s="147">
        <f>小2【S3】!$A$6</f>
        <v>3</v>
      </c>
      <c r="B86" s="148" t="str">
        <f>小2【S3】!$E$11</f>
        <v>算　数</v>
      </c>
      <c r="C86" s="149" t="str">
        <f>小2【S3】!$F$11</f>
        <v>学習用具・教科用語</v>
      </c>
      <c r="D86" s="149" t="str">
        <f>小2【S3】!$G$11</f>
        <v>ス</v>
      </c>
      <c r="E86" s="148" t="str">
        <f>小2【S3】!$H$11</f>
        <v>日本語</v>
      </c>
      <c r="F86" s="149" t="str">
        <f>小2【S3】!$I$11</f>
        <v>学校生活</v>
      </c>
      <c r="G86" s="149" t="str">
        <f>小2【S3】!$J$11</f>
        <v>ス</v>
      </c>
      <c r="H86" s="148" t="str">
        <f>小2【S3】!$K$11</f>
        <v>体　育</v>
      </c>
      <c r="I86" s="149" t="str">
        <f>小2【S3】!$L$11</f>
        <v>学習用具・教科用語</v>
      </c>
      <c r="J86" s="149" t="str">
        <f>小2【S3】!$M$11</f>
        <v>ス</v>
      </c>
      <c r="K86" s="156"/>
      <c r="L86" s="139"/>
      <c r="M86" s="139"/>
      <c r="N86" s="140"/>
      <c r="O86" s="139"/>
      <c r="P86" s="139"/>
      <c r="Q86" s="140"/>
      <c r="R86" s="139"/>
      <c r="S86" s="139"/>
    </row>
    <row r="87" spans="1:20" ht="21" customHeight="1" x14ac:dyDescent="0.15">
      <c r="A87" s="147">
        <f>小2【S3】!$A$7</f>
        <v>4</v>
      </c>
      <c r="B87" s="148" t="str">
        <f>小2【S3】!$E$12</f>
        <v>日本語</v>
      </c>
      <c r="C87" s="149" t="str">
        <f>小2【S3】!$F$12</f>
        <v>日本語能力試験</v>
      </c>
      <c r="D87" s="149" t="str">
        <f>小2【S3】!$G$12</f>
        <v>ス</v>
      </c>
      <c r="E87" s="148" t="str">
        <f>小2【S3】!$H$12</f>
        <v>日本語</v>
      </c>
      <c r="F87" s="149" t="str">
        <f>小2【S3】!$I$12</f>
        <v>語彙</v>
      </c>
      <c r="G87" s="149" t="str">
        <f>小2【S3】!$J$12</f>
        <v>ス</v>
      </c>
      <c r="H87" s="148" t="str">
        <f>小2【S3】!$K$12</f>
        <v>日本語</v>
      </c>
      <c r="I87" s="149" t="str">
        <f>小2【S3】!$L$12</f>
        <v>日本語能力試験</v>
      </c>
      <c r="J87" s="149" t="str">
        <f>小2【S3】!$M$12</f>
        <v>ス</v>
      </c>
      <c r="K87" s="156"/>
      <c r="L87" s="139"/>
      <c r="M87" s="139"/>
      <c r="N87" s="140"/>
      <c r="O87" s="139"/>
      <c r="P87" s="139"/>
      <c r="Q87" s="140"/>
      <c r="R87" s="139"/>
      <c r="S87" s="139"/>
    </row>
    <row r="88" spans="1:20" ht="21" customHeight="1" x14ac:dyDescent="0.15">
      <c r="A88" s="154"/>
      <c r="B88" s="153"/>
      <c r="C88" s="154"/>
      <c r="D88" s="154"/>
      <c r="E88" s="153"/>
      <c r="F88" s="154"/>
      <c r="G88" s="154"/>
      <c r="H88" s="153"/>
      <c r="I88" s="157"/>
      <c r="J88" s="157"/>
      <c r="K88" s="140"/>
      <c r="L88" s="139"/>
      <c r="M88" s="139"/>
      <c r="N88" s="140"/>
      <c r="O88" s="139"/>
      <c r="P88" s="139"/>
      <c r="Q88" s="140"/>
      <c r="R88" s="139"/>
      <c r="S88" s="139"/>
    </row>
    <row r="89" spans="1:20" ht="21" customHeight="1" x14ac:dyDescent="0.15">
      <c r="A89" s="139"/>
      <c r="B89" s="140"/>
      <c r="C89" s="185" t="str">
        <f>小2【S4】!$C$2</f>
        <v>小2　12月　【S4】　指導ユニット　モジュール（現学年・ステップ）配当計画</v>
      </c>
      <c r="D89" s="186"/>
      <c r="E89" s="186"/>
      <c r="F89" s="186"/>
      <c r="G89" s="187"/>
      <c r="H89" s="187"/>
      <c r="I89" s="187"/>
      <c r="J89" s="187"/>
      <c r="K89" s="187"/>
      <c r="L89" s="187"/>
      <c r="M89" s="188"/>
      <c r="N89" s="187"/>
      <c r="O89" s="139"/>
      <c r="P89" s="139"/>
      <c r="Q89" s="140"/>
      <c r="R89" s="139"/>
      <c r="S89" s="139"/>
    </row>
    <row r="90" spans="1:20" ht="21" customHeight="1" x14ac:dyDescent="0.15">
      <c r="A90" s="143" t="s">
        <v>191</v>
      </c>
      <c r="B90" s="189" t="s">
        <v>192</v>
      </c>
      <c r="C90" s="190"/>
      <c r="D90" s="191"/>
      <c r="E90" s="189" t="s">
        <v>193</v>
      </c>
      <c r="F90" s="190"/>
      <c r="G90" s="191"/>
      <c r="H90" s="189" t="s">
        <v>194</v>
      </c>
      <c r="I90" s="190"/>
      <c r="J90" s="191"/>
      <c r="K90" s="189" t="s">
        <v>195</v>
      </c>
      <c r="L90" s="190"/>
      <c r="M90" s="191"/>
      <c r="N90" s="189" t="s">
        <v>196</v>
      </c>
      <c r="O90" s="190"/>
      <c r="P90" s="191"/>
      <c r="Q90" s="189" t="s">
        <v>197</v>
      </c>
      <c r="R90" s="190"/>
      <c r="S90" s="191"/>
      <c r="T90" s="9"/>
    </row>
    <row r="91" spans="1:20" ht="21" customHeight="1" x14ac:dyDescent="0.15">
      <c r="A91" s="144">
        <f>小2【S4】!$A$4</f>
        <v>1</v>
      </c>
      <c r="B91" s="145" t="str">
        <f>小2【S4】!$B$4</f>
        <v>国　語</v>
      </c>
      <c r="C91" s="146" t="str">
        <f>小2【S4】!$C$4</f>
        <v>にたいみ、はんたいのいみのことば</v>
      </c>
      <c r="D91" s="146" t="str">
        <f>小2【S4】!$D$4</f>
        <v>現</v>
      </c>
      <c r="E91" s="145" t="str">
        <f>小2【S4】!$E$4</f>
        <v>国　語</v>
      </c>
      <c r="F91" s="146" t="str">
        <f>小2【S4】!$F$4</f>
        <v>にたいみ、はんたいのいみのことば</v>
      </c>
      <c r="G91" s="146" t="str">
        <f>小2【S4】!$G$4</f>
        <v>現</v>
      </c>
      <c r="H91" s="145" t="str">
        <f>小2【S4】!$H$4</f>
        <v>国　語</v>
      </c>
      <c r="I91" s="146" t="str">
        <f>小2【S4】!$I$4</f>
        <v>わたしはおねえさん</v>
      </c>
      <c r="J91" s="146" t="str">
        <f>小2【S4】!$J$4</f>
        <v>現</v>
      </c>
      <c r="K91" s="145" t="str">
        <f>小2【S4】!$K$4</f>
        <v>国　語</v>
      </c>
      <c r="L91" s="146" t="str">
        <f>小2【S4】!$L$4</f>
        <v>わたしはおねえさん</v>
      </c>
      <c r="M91" s="146" t="str">
        <f>小2【S4】!$M$4</f>
        <v>現</v>
      </c>
      <c r="N91" s="145" t="str">
        <f>小2【S4】!$N$4</f>
        <v>国　語</v>
      </c>
      <c r="O91" s="146" t="str">
        <f>小2【S4】!$O$4</f>
        <v>かん字の広場④</v>
      </c>
      <c r="P91" s="146" t="str">
        <f>小2【S4】!$P$4</f>
        <v>現</v>
      </c>
      <c r="Q91" s="145" t="str">
        <f>小2【S4】!$B$9</f>
        <v>国　語</v>
      </c>
      <c r="R91" s="146" t="str">
        <f>小2【S4】!$C$9</f>
        <v>かん字の広場④</v>
      </c>
      <c r="S91" s="146" t="str">
        <f>小2【S4】!$D$9</f>
        <v>現</v>
      </c>
      <c r="T91" s="9"/>
    </row>
    <row r="92" spans="1:20" ht="21" customHeight="1" x14ac:dyDescent="0.15">
      <c r="A92" s="147">
        <f>小2【S4】!$A$5</f>
        <v>2</v>
      </c>
      <c r="B92" s="148" t="str">
        <f>小2【S4】!$B$5</f>
        <v>国　語</v>
      </c>
      <c r="C92" s="149" t="str">
        <f>小2【S4】!$C$5</f>
        <v>にたいみ、はんたいのいみのことば</v>
      </c>
      <c r="D92" s="149" t="str">
        <f>小2【S4】!$D$5</f>
        <v>現</v>
      </c>
      <c r="E92" s="148" t="str">
        <f>小2【S4】!$E$5</f>
        <v>算　数</v>
      </c>
      <c r="F92" s="149" t="str">
        <f>小2【S4】!$F$5</f>
        <v>三角形と四角形</v>
      </c>
      <c r="G92" s="149" t="str">
        <f>小2【S4】!$G$5</f>
        <v>現</v>
      </c>
      <c r="H92" s="148" t="str">
        <f>小2【S4】!$H$5</f>
        <v>国　語</v>
      </c>
      <c r="I92" s="149" t="str">
        <f>小2【S4】!$I$5</f>
        <v>わたしはおねえさん</v>
      </c>
      <c r="J92" s="149" t="str">
        <f>小2【S4】!$J$5</f>
        <v>現</v>
      </c>
      <c r="K92" s="148" t="str">
        <f>小2【S4】!$K$5</f>
        <v>算　数</v>
      </c>
      <c r="L92" s="149" t="str">
        <f>小2【S4】!$L$5</f>
        <v>三角形と四角形</v>
      </c>
      <c r="M92" s="149" t="str">
        <f>小2【S4】!$M$5</f>
        <v>現</v>
      </c>
      <c r="N92" s="148" t="str">
        <f>小2【S4】!$N$5</f>
        <v>国　語</v>
      </c>
      <c r="O92" s="149" t="str">
        <f>小2【S4】!$O$5</f>
        <v>かん字の広場④</v>
      </c>
      <c r="P92" s="149" t="str">
        <f>小2【S4】!$P$5</f>
        <v>現</v>
      </c>
      <c r="Q92" s="148" t="str">
        <f>小2【S4】!$B$10</f>
        <v>国　語</v>
      </c>
      <c r="R92" s="149" t="str">
        <f>小2【S4】!$C$10</f>
        <v>冬がいっぱい</v>
      </c>
      <c r="S92" s="149" t="str">
        <f>小2【S4】!$D$10</f>
        <v>現</v>
      </c>
      <c r="T92" s="9"/>
    </row>
    <row r="93" spans="1:20" ht="21" customHeight="1" x14ac:dyDescent="0.15">
      <c r="A93" s="147">
        <f>小2【S4】!$A$6</f>
        <v>3</v>
      </c>
      <c r="B93" s="148" t="str">
        <f>小2【S4】!$B$6</f>
        <v>算　数</v>
      </c>
      <c r="C93" s="149" t="str">
        <f>小2【S4】!$C$6</f>
        <v>三角形と四角形</v>
      </c>
      <c r="D93" s="149" t="str">
        <f>小2【S4】!$D$6</f>
        <v>現</v>
      </c>
      <c r="E93" s="148" t="str">
        <f>小2【S4】!$E$6</f>
        <v>音　楽</v>
      </c>
      <c r="F93" s="149" t="str">
        <f>小2【S4】!$F$6</f>
        <v>学習用具・教科用語</v>
      </c>
      <c r="G93" s="149" t="str">
        <f>小2【S4】!$G$6</f>
        <v>現</v>
      </c>
      <c r="H93" s="148" t="str">
        <f>小2【S4】!$H$6</f>
        <v>算　数</v>
      </c>
      <c r="I93" s="149" t="str">
        <f>小2【S4】!$I$6</f>
        <v>三角形と四角形</v>
      </c>
      <c r="J93" s="149" t="str">
        <f>小2【S4】!$J$6</f>
        <v>現</v>
      </c>
      <c r="K93" s="148" t="str">
        <f>小2【S4】!$K$6</f>
        <v>生活科</v>
      </c>
      <c r="L93" s="149" t="str">
        <f>小2【S4】!$L$6</f>
        <v>学習用具・教科用語</v>
      </c>
      <c r="M93" s="149" t="str">
        <f>小2【S4】!$M$6</f>
        <v>現</v>
      </c>
      <c r="N93" s="148" t="str">
        <f>小2【S4】!$N$6</f>
        <v>算　数</v>
      </c>
      <c r="O93" s="149" t="str">
        <f>小2【S4】!$O$6</f>
        <v>三角形と四角形</v>
      </c>
      <c r="P93" s="149" t="str">
        <f>小2【S4】!$P$6</f>
        <v>現</v>
      </c>
      <c r="Q93" s="148" t="str">
        <f>小2【S4】!$B$11</f>
        <v>国　語</v>
      </c>
      <c r="R93" s="149" t="str">
        <f>小2【S4】!$C$11</f>
        <v>冬がいっぱい</v>
      </c>
      <c r="S93" s="149" t="str">
        <f>小2【S4】!$D$11</f>
        <v>現</v>
      </c>
      <c r="T93" s="9"/>
    </row>
    <row r="94" spans="1:20" ht="21" customHeight="1" x14ac:dyDescent="0.15">
      <c r="A94" s="147">
        <f>小2【S4】!$A$7</f>
        <v>4</v>
      </c>
      <c r="B94" s="148" t="str">
        <f>小2【S4】!$B$7</f>
        <v>算　数</v>
      </c>
      <c r="C94" s="149" t="str">
        <f>小2【S4】!$C$7</f>
        <v>いろいろなかたち（小1）</v>
      </c>
      <c r="D94" s="149" t="str">
        <f>小2【S4】!$D$7</f>
        <v>ス</v>
      </c>
      <c r="E94" s="148" t="str">
        <f>小2【S4】!$E$7</f>
        <v>日本語</v>
      </c>
      <c r="F94" s="149" t="str">
        <f>小2【S4】!$F$7</f>
        <v>日本語能力試験</v>
      </c>
      <c r="G94" s="149" t="str">
        <f>小2【S4】!$G$7</f>
        <v>ス</v>
      </c>
      <c r="H94" s="148" t="str">
        <f>小2【S4】!$H$7</f>
        <v>算　数</v>
      </c>
      <c r="I94" s="149" t="str">
        <f>小2【S4】!$I$7</f>
        <v>いろいろなかたち（小1）</v>
      </c>
      <c r="J94" s="149" t="str">
        <f>小2【S4】!$J$7</f>
        <v>ス</v>
      </c>
      <c r="K94" s="148" t="str">
        <f>小2【S4】!$K$7</f>
        <v>日本語</v>
      </c>
      <c r="L94" s="149" t="str">
        <f>小2【S4】!$L$7</f>
        <v>日本の文化</v>
      </c>
      <c r="M94" s="149" t="str">
        <f>小2【S4】!$M$7</f>
        <v>ス</v>
      </c>
      <c r="N94" s="148" t="str">
        <f>小2【S4】!$N$7</f>
        <v>体　育</v>
      </c>
      <c r="O94" s="149" t="str">
        <f>小2【S4】!$O$7</f>
        <v>学習用具・教科用語</v>
      </c>
      <c r="P94" s="149" t="str">
        <f>小2【S4】!$P$7</f>
        <v>ス</v>
      </c>
      <c r="Q94" s="148" t="str">
        <f>小2【S4】!$B$12</f>
        <v>日本語</v>
      </c>
      <c r="R94" s="149" t="str">
        <f>小2【S4】!$C$12</f>
        <v>語彙</v>
      </c>
      <c r="S94" s="149" t="str">
        <f>小2【S4】!$D$12</f>
        <v>ス</v>
      </c>
      <c r="T94" s="9"/>
    </row>
    <row r="95" spans="1:20" ht="21" customHeight="1" x14ac:dyDescent="0.15">
      <c r="A95" s="154"/>
      <c r="B95" s="153"/>
      <c r="C95" s="154"/>
      <c r="D95" s="154"/>
      <c r="E95" s="153"/>
      <c r="F95" s="154"/>
      <c r="G95" s="154"/>
      <c r="H95" s="153"/>
      <c r="I95" s="157"/>
      <c r="J95" s="157"/>
      <c r="K95" s="153"/>
      <c r="L95" s="154"/>
      <c r="M95" s="154"/>
      <c r="N95" s="153"/>
      <c r="O95" s="154"/>
      <c r="P95" s="154"/>
      <c r="Q95" s="153"/>
      <c r="R95" s="154"/>
      <c r="S95" s="154"/>
    </row>
    <row r="96" spans="1:20" ht="21" customHeight="1" x14ac:dyDescent="0.15">
      <c r="A96" s="139"/>
      <c r="B96" s="140"/>
      <c r="C96" s="139"/>
      <c r="D96" s="139"/>
      <c r="E96" s="140"/>
      <c r="F96" s="139"/>
      <c r="G96" s="139"/>
      <c r="H96" s="140"/>
      <c r="I96" s="158"/>
      <c r="J96" s="158"/>
      <c r="K96" s="140"/>
      <c r="L96" s="139"/>
      <c r="M96" s="139"/>
      <c r="N96" s="140"/>
      <c r="O96" s="139"/>
      <c r="P96" s="139"/>
      <c r="Q96" s="140"/>
      <c r="R96" s="139"/>
      <c r="S96" s="139"/>
    </row>
    <row r="97" spans="1:20" ht="21" customHeight="1" x14ac:dyDescent="0.15">
      <c r="A97" s="139"/>
      <c r="B97" s="141"/>
      <c r="C97" s="185" t="str">
        <f>小3【S2】!$C$2</f>
        <v>小3　12月　【S2】　指導ユニット　モジュール（現学年・ステップ）配当計画</v>
      </c>
      <c r="D97" s="186"/>
      <c r="E97" s="186"/>
      <c r="F97" s="186"/>
      <c r="G97" s="187"/>
      <c r="H97" s="187"/>
      <c r="I97" s="187"/>
      <c r="J97" s="187"/>
      <c r="K97" s="187"/>
      <c r="L97" s="187"/>
      <c r="M97" s="188"/>
      <c r="N97" s="187"/>
      <c r="O97" s="139"/>
      <c r="P97" s="142"/>
      <c r="Q97" s="140"/>
      <c r="R97" s="139"/>
      <c r="S97" s="139"/>
    </row>
    <row r="98" spans="1:20" ht="21" customHeight="1" x14ac:dyDescent="0.15">
      <c r="A98" s="143" t="s">
        <v>191</v>
      </c>
      <c r="B98" s="189" t="s">
        <v>192</v>
      </c>
      <c r="C98" s="190"/>
      <c r="D98" s="191"/>
      <c r="E98" s="189" t="s">
        <v>193</v>
      </c>
      <c r="F98" s="190"/>
      <c r="G98" s="191"/>
      <c r="H98" s="189" t="s">
        <v>194</v>
      </c>
      <c r="I98" s="190"/>
      <c r="J98" s="191"/>
      <c r="K98" s="189" t="s">
        <v>195</v>
      </c>
      <c r="L98" s="190"/>
      <c r="M98" s="191"/>
      <c r="N98" s="189" t="s">
        <v>196</v>
      </c>
      <c r="O98" s="190"/>
      <c r="P98" s="191"/>
      <c r="Q98" s="189" t="s">
        <v>197</v>
      </c>
      <c r="R98" s="190"/>
      <c r="S98" s="191"/>
      <c r="T98" s="9"/>
    </row>
    <row r="99" spans="1:20" ht="21" customHeight="1" x14ac:dyDescent="0.15">
      <c r="A99" s="144">
        <f>小3【S2】!$A$4</f>
        <v>1</v>
      </c>
      <c r="B99" s="145" t="str">
        <f>小3【S2】!$B$4</f>
        <v>国　語</v>
      </c>
      <c r="C99" s="146" t="str">
        <f>小3【S2】!$C$4</f>
        <v>たから島のぼうけん</v>
      </c>
      <c r="D99" s="146" t="str">
        <f>小3【S2】!$D$4</f>
        <v>現</v>
      </c>
      <c r="E99" s="145" t="str">
        <f>小3【S2】!$E$4</f>
        <v>国　語</v>
      </c>
      <c r="F99" s="146" t="str">
        <f>小3【S2】!$F$4</f>
        <v>たから島のぼうけん</v>
      </c>
      <c r="G99" s="146" t="str">
        <f>小3【S2】!$G$4</f>
        <v>現</v>
      </c>
      <c r="H99" s="145" t="str">
        <f>小3【S2】!$H$4</f>
        <v>国　語</v>
      </c>
      <c r="I99" s="146" t="str">
        <f>小3【S2】!$I$4</f>
        <v>たから島のぼうけん</v>
      </c>
      <c r="J99" s="146" t="str">
        <f>小3【S2】!$J$4</f>
        <v>現</v>
      </c>
      <c r="K99" s="145" t="str">
        <f>小3【S2】!$K$4</f>
        <v>国　語</v>
      </c>
      <c r="L99" s="146" t="str">
        <f>小3【S2】!$L$4</f>
        <v>漢字の広場⑤</v>
      </c>
      <c r="M99" s="146" t="str">
        <f>小3【S2】!$M$4</f>
        <v>現</v>
      </c>
      <c r="N99" s="145" t="str">
        <f>小3【S2】!$N$4</f>
        <v>理　科</v>
      </c>
      <c r="O99" s="146" t="str">
        <f>小3【S2】!$O$4</f>
        <v>ものの重さをしらべよう</v>
      </c>
      <c r="P99" s="146" t="str">
        <f>小3【S2】!$P$4</f>
        <v>現</v>
      </c>
      <c r="Q99" s="145" t="str">
        <f>小3【S2】!$B$9</f>
        <v>国　語</v>
      </c>
      <c r="R99" s="146" t="str">
        <f>小3【S2】!$C$9</f>
        <v>漢字の広場⑤</v>
      </c>
      <c r="S99" s="146" t="str">
        <f>小3【S2】!$D$9</f>
        <v>現</v>
      </c>
      <c r="T99" s="9"/>
    </row>
    <row r="100" spans="1:20" ht="21" customHeight="1" x14ac:dyDescent="0.15">
      <c r="A100" s="147">
        <f>小3【S2】!$A$5</f>
        <v>2</v>
      </c>
      <c r="B100" s="148" t="str">
        <f>小3【S2】!$B$5</f>
        <v>算　数</v>
      </c>
      <c r="C100" s="149" t="str">
        <f>小3【S2】!$C$5</f>
        <v>分数</v>
      </c>
      <c r="D100" s="149" t="str">
        <f>小3【S2】!$D$5</f>
        <v>現</v>
      </c>
      <c r="E100" s="148" t="str">
        <f>小3【S2】!$E$5</f>
        <v>社　会</v>
      </c>
      <c r="F100" s="149" t="str">
        <f>小3【S2】!$F$5</f>
        <v>はたらく人とわたしたちのくらし</v>
      </c>
      <c r="G100" s="149" t="str">
        <f>小3【S2】!$G$5</f>
        <v>現</v>
      </c>
      <c r="H100" s="148" t="str">
        <f>小3【S2】!$H$5</f>
        <v>算　数</v>
      </c>
      <c r="I100" s="149" t="str">
        <f>小3【S2】!$I$5</f>
        <v>分数</v>
      </c>
      <c r="J100" s="149" t="str">
        <f>小3【S2】!$J$5</f>
        <v>現</v>
      </c>
      <c r="K100" s="148" t="str">
        <f>小3【S2】!$K$5</f>
        <v>日本語</v>
      </c>
      <c r="L100" s="149" t="str">
        <f>小3【S2】!$L$5</f>
        <v>日本の文化</v>
      </c>
      <c r="M100" s="149" t="str">
        <f>小3【S2】!$M$5</f>
        <v>ス</v>
      </c>
      <c r="N100" s="148" t="str">
        <f>小3【S2】!$N$5</f>
        <v>日本語</v>
      </c>
      <c r="O100" s="149" t="str">
        <f>小3【S2】!$O$5</f>
        <v>語彙</v>
      </c>
      <c r="P100" s="149" t="str">
        <f>小3【S2】!$P$5</f>
        <v>ス</v>
      </c>
      <c r="Q100" s="148" t="str">
        <f>小3【S2】!$B$10</f>
        <v>日本語</v>
      </c>
      <c r="R100" s="149" t="str">
        <f>小3【S2】!$C$10</f>
        <v>家庭生活</v>
      </c>
      <c r="S100" s="149" t="str">
        <f>小3【S2】!$D$10</f>
        <v>ス</v>
      </c>
      <c r="T100" s="9"/>
    </row>
    <row r="101" spans="1:20" ht="21" customHeight="1" x14ac:dyDescent="0.15">
      <c r="A101" s="147">
        <f>小3【S2】!$A$6</f>
        <v>3</v>
      </c>
      <c r="B101" s="148" t="str">
        <f>小3【S2】!$B$6</f>
        <v>社　会</v>
      </c>
      <c r="C101" s="149" t="str">
        <f>小3【S2】!$C$6</f>
        <v>学習用具・教科用語</v>
      </c>
      <c r="D101" s="149" t="str">
        <f>小3【S2】!$D$6</f>
        <v>ス</v>
      </c>
      <c r="E101" s="148" t="str">
        <f>小3【S2】!$E$6</f>
        <v>国　語</v>
      </c>
      <c r="F101" s="149" t="str">
        <f>小3【S2】!$F$6</f>
        <v>かんさつ名人になろう（小2）</v>
      </c>
      <c r="G101" s="149" t="str">
        <f>小3【S2】!$G$6</f>
        <v>ス</v>
      </c>
      <c r="H101" s="148" t="str">
        <f>小3【S2】!$H$6</f>
        <v>社　会</v>
      </c>
      <c r="I101" s="149" t="str">
        <f>小3【S2】!$I$6</f>
        <v>学習用具・教科用語</v>
      </c>
      <c r="J101" s="149" t="str">
        <f>小3【S2】!$J$6</f>
        <v>ス</v>
      </c>
      <c r="K101" s="148" t="str">
        <f>小3【S2】!$K$6</f>
        <v>国　語</v>
      </c>
      <c r="L101" s="149" t="str">
        <f>小3【S2】!$L$6</f>
        <v>漢字の広場⑤（小2）</v>
      </c>
      <c r="M101" s="149" t="str">
        <f>小3【S2】!$M$6</f>
        <v>ス</v>
      </c>
      <c r="N101" s="148" t="str">
        <f>小3【S2】!$N$6</f>
        <v>国　語</v>
      </c>
      <c r="O101" s="149" t="str">
        <f>小3【S2】!$O$6</f>
        <v>ものの名前（小1）</v>
      </c>
      <c r="P101" s="149" t="str">
        <f>小3【S2】!$P$6</f>
        <v>ス</v>
      </c>
      <c r="Q101" s="148" t="str">
        <f>小3【S2】!$B$11</f>
        <v>図　工</v>
      </c>
      <c r="R101" s="149" t="str">
        <f>小3【S2】!$C$11</f>
        <v>学習用具・教科用語</v>
      </c>
      <c r="S101" s="149" t="str">
        <f>小3【S2】!$D$11</f>
        <v>ス</v>
      </c>
      <c r="T101" s="9"/>
    </row>
    <row r="102" spans="1:20" ht="21" customHeight="1" x14ac:dyDescent="0.15">
      <c r="A102" s="147">
        <f>小3【S2】!$A$7</f>
        <v>4</v>
      </c>
      <c r="B102" s="148" t="str">
        <f>小3【S2】!$B$7</f>
        <v>算　数</v>
      </c>
      <c r="C102" s="149" t="str">
        <f>小3【S2】!$C$7</f>
        <v>分数（小2）</v>
      </c>
      <c r="D102" s="149" t="str">
        <f>小3【S2】!$D$7</f>
        <v>ス</v>
      </c>
      <c r="E102" s="148" t="str">
        <f>小3【S2】!$E$7</f>
        <v>算　数</v>
      </c>
      <c r="F102" s="149" t="str">
        <f>小3【S2】!$F$7</f>
        <v>分数（小2）</v>
      </c>
      <c r="G102" s="149" t="str">
        <f>小3【S2】!$G$7</f>
        <v>ス</v>
      </c>
      <c r="H102" s="148" t="str">
        <f>小3【S2】!$H$7</f>
        <v>算　数</v>
      </c>
      <c r="I102" s="149" t="str">
        <f>小3【S2】!$I$7</f>
        <v>分数（小2）</v>
      </c>
      <c r="J102" s="149" t="str">
        <f>小3【S2】!$J$7</f>
        <v>ス</v>
      </c>
      <c r="K102" s="148" t="str">
        <f>小3【S2】!$K$7</f>
        <v>算　数</v>
      </c>
      <c r="L102" s="149" t="str">
        <f>小3【S2】!$L$7</f>
        <v>かくれた数はいくつ（小2）</v>
      </c>
      <c r="M102" s="149" t="str">
        <f>小3【S2】!$M$7</f>
        <v>ス</v>
      </c>
      <c r="N102" s="148" t="str">
        <f>小3【S2】!$N$7</f>
        <v>日本語</v>
      </c>
      <c r="O102" s="149" t="str">
        <f>小3【S2】!$O$7</f>
        <v>学校生活</v>
      </c>
      <c r="P102" s="149" t="str">
        <f>小3【S2】!$P$7</f>
        <v>ス</v>
      </c>
      <c r="Q102" s="148" t="str">
        <f>小3【S2】!$B$12</f>
        <v>音　楽</v>
      </c>
      <c r="R102" s="149" t="str">
        <f>小3【S2】!$C$12</f>
        <v>学習用具・教科用語</v>
      </c>
      <c r="S102" s="149" t="str">
        <f>小3【S2】!$D$12</f>
        <v>ス</v>
      </c>
      <c r="T102" s="9"/>
    </row>
    <row r="103" spans="1:20" ht="21" customHeight="1" x14ac:dyDescent="0.15">
      <c r="A103" s="150"/>
      <c r="B103" s="189" t="s">
        <v>198</v>
      </c>
      <c r="C103" s="190"/>
      <c r="D103" s="191"/>
      <c r="E103" s="189" t="s">
        <v>199</v>
      </c>
      <c r="F103" s="190"/>
      <c r="G103" s="191"/>
      <c r="H103" s="189" t="s">
        <v>200</v>
      </c>
      <c r="I103" s="190"/>
      <c r="J103" s="191"/>
      <c r="K103" s="189" t="s">
        <v>201</v>
      </c>
      <c r="L103" s="190"/>
      <c r="M103" s="191"/>
      <c r="N103" s="189" t="s">
        <v>202</v>
      </c>
      <c r="O103" s="190"/>
      <c r="P103" s="191"/>
      <c r="Q103" s="189" t="s">
        <v>203</v>
      </c>
      <c r="R103" s="190"/>
      <c r="S103" s="191"/>
      <c r="T103" s="9"/>
    </row>
    <row r="104" spans="1:20" ht="21" customHeight="1" x14ac:dyDescent="0.15">
      <c r="A104" s="144">
        <f>小3【S2】!$A$4</f>
        <v>1</v>
      </c>
      <c r="B104" s="145" t="str">
        <f>小3【S2】!$E$9</f>
        <v>国　語</v>
      </c>
      <c r="C104" s="146" t="str">
        <f>小3【S2】!$F$9</f>
        <v>言葉を分類する</v>
      </c>
      <c r="D104" s="146" t="str">
        <f>小3【S2】!$G$9</f>
        <v>現</v>
      </c>
      <c r="E104" s="145" t="str">
        <f>小3【S2】!$H$9</f>
        <v>国　語</v>
      </c>
      <c r="F104" s="146" t="str">
        <f>小3【S2】!$I$9</f>
        <v>言葉を分類する</v>
      </c>
      <c r="G104" s="146" t="str">
        <f>小3【S2】!$J$9</f>
        <v>現</v>
      </c>
      <c r="H104" s="145" t="str">
        <f>小3【S2】!$K$9</f>
        <v>国　語</v>
      </c>
      <c r="I104" s="146" t="str">
        <f>小3【S2】!$L$9</f>
        <v>冬の楽しみ</v>
      </c>
      <c r="J104" s="146" t="str">
        <f>小3【S2】!$M$9</f>
        <v>現</v>
      </c>
      <c r="K104" s="145" t="str">
        <f>小3【S2】!$N$9</f>
        <v>国　語</v>
      </c>
      <c r="L104" s="146" t="str">
        <f>小3【S2】!$O$9</f>
        <v>冬の楽しみ</v>
      </c>
      <c r="M104" s="146" t="str">
        <f>小3【S2】!$P$9</f>
        <v>現</v>
      </c>
      <c r="N104" s="145" t="str">
        <f>小3【S2】!$B$14</f>
        <v>国　語</v>
      </c>
      <c r="O104" s="146" t="str">
        <f>小3【S2】!$C$14</f>
        <v>冬の楽しみ</v>
      </c>
      <c r="P104" s="146" t="str">
        <f>小3【S2】!$D$14</f>
        <v>現</v>
      </c>
      <c r="Q104" s="145" t="str">
        <f>小3【S2】!$E$14</f>
        <v>算　数</v>
      </c>
      <c r="R104" s="146" t="str">
        <f>小3【S2】!$F$14</f>
        <v>計算のきまり</v>
      </c>
      <c r="S104" s="146" t="str">
        <f>小3【S2】!$G$14</f>
        <v>現</v>
      </c>
      <c r="T104" s="9"/>
    </row>
    <row r="105" spans="1:20" ht="21" customHeight="1" x14ac:dyDescent="0.15">
      <c r="A105" s="147">
        <f>小3【S2】!$A$5</f>
        <v>2</v>
      </c>
      <c r="B105" s="148" t="str">
        <f>小3【S2】!$E$10</f>
        <v>国　語</v>
      </c>
      <c r="C105" s="149" t="str">
        <f>小3【S2】!$F$10</f>
        <v>言葉を分類する</v>
      </c>
      <c r="D105" s="149" t="str">
        <f>小3【S2】!$G$10</f>
        <v>現</v>
      </c>
      <c r="E105" s="148" t="str">
        <f>小3【S2】!$H$10</f>
        <v>算　数</v>
      </c>
      <c r="F105" s="149" t="str">
        <f>小3【S2】!$I$10</f>
        <v>べつべつに、いっしょに</v>
      </c>
      <c r="G105" s="149" t="str">
        <f>小3【S2】!$J$10</f>
        <v>現</v>
      </c>
      <c r="H105" s="148" t="str">
        <f>小3【S2】!$K$10</f>
        <v>算　数</v>
      </c>
      <c r="I105" s="149" t="str">
        <f>小3【S2】!$L$10</f>
        <v>べつべつに、いっしょに</v>
      </c>
      <c r="J105" s="149" t="str">
        <f>小3【S2】!$M$10</f>
        <v>現</v>
      </c>
      <c r="K105" s="148" t="str">
        <f>小3【S2】!$N$10</f>
        <v>理　科</v>
      </c>
      <c r="L105" s="149" t="str">
        <f>小3【S2】!$O$10</f>
        <v>学習用具・教科用語</v>
      </c>
      <c r="M105" s="149" t="str">
        <f>小3【S2】!$P$10</f>
        <v>現</v>
      </c>
      <c r="N105" s="148" t="str">
        <f>小3【S2】!$B$15</f>
        <v>日本語</v>
      </c>
      <c r="O105" s="149" t="str">
        <f>小3【S2】!$C$15</f>
        <v>家庭生活</v>
      </c>
      <c r="P105" s="149" t="str">
        <f>小3【S2】!$D$15</f>
        <v>ス</v>
      </c>
      <c r="Q105" s="148" t="str">
        <f>小3【S2】!$E$15</f>
        <v>日本語</v>
      </c>
      <c r="R105" s="149" t="str">
        <f>小3【S2】!$F$15</f>
        <v>家庭生活</v>
      </c>
      <c r="S105" s="149" t="str">
        <f>小3【S2】!$G$15</f>
        <v>ス</v>
      </c>
      <c r="T105" s="9"/>
    </row>
    <row r="106" spans="1:20" ht="21" customHeight="1" x14ac:dyDescent="0.15">
      <c r="A106" s="147">
        <f>小3【S2】!$A$6</f>
        <v>3</v>
      </c>
      <c r="B106" s="148" t="str">
        <f>小3【S2】!$E$11</f>
        <v>社　会</v>
      </c>
      <c r="C106" s="149" t="str">
        <f>小3【S2】!$F$11</f>
        <v>学習用具・教科用語</v>
      </c>
      <c r="D106" s="149" t="str">
        <f>小3【S2】!$G$11</f>
        <v>ス</v>
      </c>
      <c r="E106" s="148" t="str">
        <f>小3【S2】!$H$11</f>
        <v>日本語</v>
      </c>
      <c r="F106" s="149" t="str">
        <f>小3【S2】!$I$11</f>
        <v>学校生活</v>
      </c>
      <c r="G106" s="149" t="str">
        <f>小3【S2】!$J$11</f>
        <v>ス</v>
      </c>
      <c r="H106" s="148" t="str">
        <f>小3【S2】!$K$11</f>
        <v>国　語</v>
      </c>
      <c r="I106" s="149" t="str">
        <f>小3【S2】!$L$11</f>
        <v>冬がいっぱい（小2）</v>
      </c>
      <c r="J106" s="149" t="str">
        <f>小3【S2】!$M$11</f>
        <v>ス</v>
      </c>
      <c r="K106" s="148" t="str">
        <f>小3【S2】!$N$11</f>
        <v>日本語</v>
      </c>
      <c r="L106" s="149" t="str">
        <f>小3【S2】!$O$11</f>
        <v>語彙</v>
      </c>
      <c r="M106" s="149" t="str">
        <f>小3【S2】!$P$11</f>
        <v>ス</v>
      </c>
      <c r="N106" s="148" t="str">
        <f>小3【S2】!$B$16</f>
        <v>日本語</v>
      </c>
      <c r="O106" s="149" t="str">
        <f>小3【S2】!$C$16</f>
        <v>学校生活</v>
      </c>
      <c r="P106" s="149" t="str">
        <f>小3【S2】!$D$16</f>
        <v>ス</v>
      </c>
      <c r="Q106" s="148" t="str">
        <f>小3【S2】!$E$16</f>
        <v>日本語</v>
      </c>
      <c r="R106" s="149" t="str">
        <f>小3【S2】!$F$16</f>
        <v>語彙</v>
      </c>
      <c r="S106" s="149" t="str">
        <f>小3【S2】!$G$16</f>
        <v>ス</v>
      </c>
      <c r="T106" s="9"/>
    </row>
    <row r="107" spans="1:20" ht="21" customHeight="1" x14ac:dyDescent="0.15">
      <c r="A107" s="147">
        <f>小3【S2】!$A$7</f>
        <v>4</v>
      </c>
      <c r="B107" s="148" t="str">
        <f>小3【S2】!$E$12</f>
        <v>算　数</v>
      </c>
      <c r="C107" s="149" t="str">
        <f>小3【S2】!$F$12</f>
        <v>かくれた数はいくつ（小2）</v>
      </c>
      <c r="D107" s="149" t="str">
        <f>小3【S2】!$G$12</f>
        <v>ス</v>
      </c>
      <c r="E107" s="148" t="str">
        <f>小3【S2】!$H$12</f>
        <v>算　数</v>
      </c>
      <c r="F107" s="149" t="str">
        <f>小3【S2】!$I$12</f>
        <v>計算のじゅんじょ（小2）</v>
      </c>
      <c r="G107" s="149" t="str">
        <f>小3【S2】!$J$12</f>
        <v>ス</v>
      </c>
      <c r="H107" s="148" t="str">
        <f>小3【S2】!$K$12</f>
        <v>算　数</v>
      </c>
      <c r="I107" s="149" t="str">
        <f>小3【S2】!$L$12</f>
        <v>計算のじゅんじょ（小2）</v>
      </c>
      <c r="J107" s="149" t="str">
        <f>小3【S2】!$M$12</f>
        <v>ス</v>
      </c>
      <c r="K107" s="148" t="str">
        <f>小3【S2】!$N$12</f>
        <v>体　育</v>
      </c>
      <c r="L107" s="149" t="str">
        <f>小3【S2】!$O$12</f>
        <v>学習用具・教科用語</v>
      </c>
      <c r="M107" s="149" t="str">
        <f>小3【S2】!$P$12</f>
        <v>ス</v>
      </c>
      <c r="N107" s="148" t="str">
        <f>小3【S2】!$B$17</f>
        <v>理　科</v>
      </c>
      <c r="O107" s="149" t="str">
        <f>小3【S2】!$C$17</f>
        <v>学習用具・教科用語</v>
      </c>
      <c r="P107" s="149" t="str">
        <f>小3【S2】!$D$17</f>
        <v>ス</v>
      </c>
      <c r="Q107" s="148" t="str">
        <f>小3【S2】!$E$17</f>
        <v>日本語</v>
      </c>
      <c r="R107" s="149" t="str">
        <f>小3【S2】!$F$17</f>
        <v>日本語能力試験</v>
      </c>
      <c r="S107" s="149" t="str">
        <f>小3【S2】!$G$17</f>
        <v>ス</v>
      </c>
      <c r="T107" s="9"/>
    </row>
    <row r="108" spans="1:20" ht="21" customHeight="1" x14ac:dyDescent="0.15">
      <c r="A108" s="150"/>
      <c r="B108" s="150"/>
      <c r="C108" s="151"/>
      <c r="D108" s="151"/>
      <c r="E108" s="150"/>
      <c r="F108" s="151"/>
      <c r="G108" s="151"/>
      <c r="H108" s="150"/>
      <c r="I108" s="152"/>
      <c r="J108" s="152"/>
      <c r="K108" s="150"/>
      <c r="L108" s="151"/>
      <c r="M108" s="151"/>
      <c r="N108" s="150"/>
      <c r="O108" s="151"/>
      <c r="P108" s="151"/>
      <c r="Q108" s="153"/>
      <c r="R108" s="154"/>
      <c r="S108" s="154"/>
    </row>
    <row r="109" spans="1:20" ht="21" customHeight="1" x14ac:dyDescent="0.15">
      <c r="A109" s="139"/>
      <c r="B109" s="140"/>
      <c r="C109" s="185" t="str">
        <f>小3【S3】!$C$2</f>
        <v>小3　12月　【S3】　指導ユニット　モジュール（現学年・ステップ）配当計画</v>
      </c>
      <c r="D109" s="186"/>
      <c r="E109" s="186"/>
      <c r="F109" s="186"/>
      <c r="G109" s="187"/>
      <c r="H109" s="187"/>
      <c r="I109" s="187"/>
      <c r="J109" s="187"/>
      <c r="K109" s="187"/>
      <c r="L109" s="187"/>
      <c r="M109" s="188"/>
      <c r="N109" s="187"/>
      <c r="O109" s="139"/>
      <c r="P109" s="139"/>
      <c r="Q109" s="140"/>
      <c r="R109" s="139"/>
      <c r="S109" s="139"/>
    </row>
    <row r="110" spans="1:20" ht="21" customHeight="1" x14ac:dyDescent="0.15">
      <c r="A110" s="143" t="s">
        <v>191</v>
      </c>
      <c r="B110" s="189" t="s">
        <v>192</v>
      </c>
      <c r="C110" s="190"/>
      <c r="D110" s="191"/>
      <c r="E110" s="189" t="s">
        <v>193</v>
      </c>
      <c r="F110" s="190"/>
      <c r="G110" s="191"/>
      <c r="H110" s="189" t="s">
        <v>194</v>
      </c>
      <c r="I110" s="190"/>
      <c r="J110" s="191"/>
      <c r="K110" s="189" t="s">
        <v>195</v>
      </c>
      <c r="L110" s="190"/>
      <c r="M110" s="191"/>
      <c r="N110" s="189" t="s">
        <v>196</v>
      </c>
      <c r="O110" s="190"/>
      <c r="P110" s="191"/>
      <c r="Q110" s="189" t="s">
        <v>197</v>
      </c>
      <c r="R110" s="190"/>
      <c r="S110" s="191"/>
      <c r="T110" s="9"/>
    </row>
    <row r="111" spans="1:20" ht="21" customHeight="1" x14ac:dyDescent="0.15">
      <c r="A111" s="144">
        <f>小3【S3】!$A$4</f>
        <v>1</v>
      </c>
      <c r="B111" s="145" t="str">
        <f>小3【S3】!$B$4</f>
        <v>国　語</v>
      </c>
      <c r="C111" s="146" t="str">
        <f>小3【S3】!$C$4</f>
        <v>たから島のぼうけん</v>
      </c>
      <c r="D111" s="146" t="str">
        <f>小3【S3】!$D$4</f>
        <v>現</v>
      </c>
      <c r="E111" s="145" t="str">
        <f>小3【S3】!$E$4</f>
        <v>国　語</v>
      </c>
      <c r="F111" s="146" t="str">
        <f>小3【S3】!$F$4</f>
        <v>たから島のぼうけん</v>
      </c>
      <c r="G111" s="146" t="str">
        <f>小3【S3】!$G$4</f>
        <v>現</v>
      </c>
      <c r="H111" s="145" t="str">
        <f>小3【S3】!$H$4</f>
        <v>国　語</v>
      </c>
      <c r="I111" s="146" t="str">
        <f>小3【S3】!$I$4</f>
        <v>漢字の広場⑤</v>
      </c>
      <c r="J111" s="146" t="str">
        <f>小3【S3】!$J$4</f>
        <v>現</v>
      </c>
      <c r="K111" s="145" t="str">
        <f>小3【S3】!$K$4</f>
        <v>国　語</v>
      </c>
      <c r="L111" s="146" t="str">
        <f>小3【S3】!$L$4</f>
        <v>漢字の広場⑤</v>
      </c>
      <c r="M111" s="146" t="str">
        <f>小3【S3】!$M$4</f>
        <v>現</v>
      </c>
      <c r="N111" s="145" t="str">
        <f>小3【S3】!$N$4</f>
        <v>国　語</v>
      </c>
      <c r="O111" s="146" t="str">
        <f>小3【S3】!$O$4</f>
        <v>言葉を分類する</v>
      </c>
      <c r="P111" s="146" t="str">
        <f>小3【S3】!$P$4</f>
        <v>現</v>
      </c>
      <c r="Q111" s="145" t="str">
        <f>小3【S3】!$B$9</f>
        <v>国　語</v>
      </c>
      <c r="R111" s="146" t="str">
        <f>小3【S3】!$C$9</f>
        <v>言葉を分類する</v>
      </c>
      <c r="S111" s="146" t="str">
        <f>小3【S3】!$D$9</f>
        <v>現</v>
      </c>
      <c r="T111" s="9"/>
    </row>
    <row r="112" spans="1:20" ht="21" customHeight="1" x14ac:dyDescent="0.15">
      <c r="A112" s="147">
        <f>小3【S3】!$A$5</f>
        <v>2</v>
      </c>
      <c r="B112" s="148" t="str">
        <f>小3【S3】!$B$5</f>
        <v>算　数</v>
      </c>
      <c r="C112" s="149" t="str">
        <f>小3【S3】!$C$5</f>
        <v>分数</v>
      </c>
      <c r="D112" s="149" t="str">
        <f>小3【S3】!$D$5</f>
        <v>現</v>
      </c>
      <c r="E112" s="148" t="str">
        <f>小3【S3】!$E$5</f>
        <v>国　語</v>
      </c>
      <c r="F112" s="149" t="str">
        <f>小3【S3】!$F$5</f>
        <v>たから島のぼうけん</v>
      </c>
      <c r="G112" s="149" t="str">
        <f>小3【S3】!$G$5</f>
        <v>現</v>
      </c>
      <c r="H112" s="148" t="str">
        <f>小3【S3】!$H$5</f>
        <v>算　数</v>
      </c>
      <c r="I112" s="149" t="str">
        <f>小3【S3】!$I$5</f>
        <v>べつべつに、いっしょに</v>
      </c>
      <c r="J112" s="149" t="str">
        <f>小3【S3】!$J$5</f>
        <v>現</v>
      </c>
      <c r="K112" s="148" t="str">
        <f>小3【S3】!$K$5</f>
        <v>算　数</v>
      </c>
      <c r="L112" s="149" t="str">
        <f>小3【S3】!$L$5</f>
        <v>計算のきまり</v>
      </c>
      <c r="M112" s="149" t="str">
        <f>小3【S3】!$M$5</f>
        <v>現</v>
      </c>
      <c r="N112" s="148" t="str">
        <f>小3【S3】!$N$5</f>
        <v>算　数</v>
      </c>
      <c r="O112" s="149" t="str">
        <f>小3【S3】!$O$5</f>
        <v>計算のきまり</v>
      </c>
      <c r="P112" s="149" t="str">
        <f>小3【S3】!$P$5</f>
        <v>現</v>
      </c>
      <c r="Q112" s="148" t="str">
        <f>小3【S3】!$B$10</f>
        <v>図　工</v>
      </c>
      <c r="R112" s="149" t="str">
        <f>小3【S3】!$C$10</f>
        <v>学習用具・教科用語</v>
      </c>
      <c r="S112" s="149" t="str">
        <f>小3【S3】!$D$10</f>
        <v>現</v>
      </c>
      <c r="T112" s="9"/>
    </row>
    <row r="113" spans="1:20" ht="21" customHeight="1" x14ac:dyDescent="0.15">
      <c r="A113" s="147">
        <f>小3【S3】!$A$6</f>
        <v>3</v>
      </c>
      <c r="B113" s="148" t="str">
        <f>小3【S3】!$B$6</f>
        <v>国　語</v>
      </c>
      <c r="C113" s="149" t="str">
        <f>小3【S3】!$C$6</f>
        <v>かんさつ名人になろう（小2）</v>
      </c>
      <c r="D113" s="149" t="str">
        <f>小3【S3】!$D$6</f>
        <v>ス</v>
      </c>
      <c r="E113" s="148" t="str">
        <f>小3【S3】!$E$6</f>
        <v>算　数</v>
      </c>
      <c r="F113" s="149" t="str">
        <f>小3【S3】!$F$6</f>
        <v>分数</v>
      </c>
      <c r="G113" s="149" t="str">
        <f>小3【S3】!$G$6</f>
        <v>現</v>
      </c>
      <c r="H113" s="148" t="str">
        <f>小3【S3】!$H$6</f>
        <v>理　科</v>
      </c>
      <c r="I113" s="149" t="str">
        <f>小3【S3】!$I$6</f>
        <v>ものの重さをしらべよう</v>
      </c>
      <c r="J113" s="149" t="str">
        <f>小3【S3】!$J$6</f>
        <v>現</v>
      </c>
      <c r="K113" s="148" t="str">
        <f>小3【S3】!$K$6</f>
        <v>日本語</v>
      </c>
      <c r="L113" s="149" t="str">
        <f>小3【S3】!$L$6</f>
        <v>日本の文化</v>
      </c>
      <c r="M113" s="149" t="str">
        <f>小3【S3】!$M$6</f>
        <v>ス</v>
      </c>
      <c r="N113" s="148" t="str">
        <f>小3【S3】!$N$6</f>
        <v>社　会</v>
      </c>
      <c r="O113" s="149" t="str">
        <f>小3【S3】!$O$6</f>
        <v>はたらく人とわたしたちのくらし</v>
      </c>
      <c r="P113" s="149" t="str">
        <f>小3【S3】!$P$6</f>
        <v>現</v>
      </c>
      <c r="Q113" s="148" t="str">
        <f>小3【S3】!$B$11</f>
        <v>国　語</v>
      </c>
      <c r="R113" s="149" t="str">
        <f>小3【S3】!$C$11</f>
        <v>漢字の広場⑤（小2）</v>
      </c>
      <c r="S113" s="149" t="str">
        <f>小3【S3】!$D$11</f>
        <v>ス</v>
      </c>
      <c r="T113" s="9"/>
    </row>
    <row r="114" spans="1:20" ht="21" customHeight="1" x14ac:dyDescent="0.15">
      <c r="A114" s="147">
        <f>小3【S3】!$A$7</f>
        <v>4</v>
      </c>
      <c r="B114" s="148" t="str">
        <f>小3【S3】!$B$7</f>
        <v>理　科</v>
      </c>
      <c r="C114" s="149" t="str">
        <f>小3【S3】!$C$7</f>
        <v>学習用具・教科用語</v>
      </c>
      <c r="D114" s="149" t="str">
        <f>小3【S3】!$D$7</f>
        <v>ス</v>
      </c>
      <c r="E114" s="148" t="str">
        <f>小3【S3】!$E$7</f>
        <v>国　語</v>
      </c>
      <c r="F114" s="149" t="str">
        <f>小3【S3】!$F$7</f>
        <v>かんさつ名人になろう（小2）</v>
      </c>
      <c r="G114" s="149" t="str">
        <f>小3【S3】!$G$7</f>
        <v>ス</v>
      </c>
      <c r="H114" s="148" t="str">
        <f>小3【S3】!$H$7</f>
        <v>算　数</v>
      </c>
      <c r="I114" s="149" t="str">
        <f>小3【S3】!$I$7</f>
        <v>分数（小2）</v>
      </c>
      <c r="J114" s="149" t="str">
        <f>小3【S3】!$J$7</f>
        <v>ス</v>
      </c>
      <c r="K114" s="148" t="str">
        <f>小3【S3】!$K$7</f>
        <v>算　数</v>
      </c>
      <c r="L114" s="149" t="str">
        <f>小3【S3】!$L$7</f>
        <v>分数（小2）</v>
      </c>
      <c r="M114" s="149" t="str">
        <f>小3【S3】!$M$7</f>
        <v>ス</v>
      </c>
      <c r="N114" s="148" t="str">
        <f>小3【S3】!$N$7</f>
        <v>算　数</v>
      </c>
      <c r="O114" s="149" t="str">
        <f>小3【S3】!$O$7</f>
        <v>かくれた数はいくつ（小2）</v>
      </c>
      <c r="P114" s="149" t="str">
        <f>小3【S3】!$P$7</f>
        <v>ス</v>
      </c>
      <c r="Q114" s="148" t="str">
        <f>小3【S3】!$B$12</f>
        <v>音　楽</v>
      </c>
      <c r="R114" s="149" t="str">
        <f>小3【S3】!$C$12</f>
        <v>学習用具・教科用語</v>
      </c>
      <c r="S114" s="149" t="str">
        <f>小3【S3】!$D$12</f>
        <v>ス</v>
      </c>
      <c r="T114" s="9"/>
    </row>
    <row r="115" spans="1:20" ht="21" customHeight="1" x14ac:dyDescent="0.15">
      <c r="A115" s="150"/>
      <c r="B115" s="189" t="s">
        <v>198</v>
      </c>
      <c r="C115" s="190"/>
      <c r="D115" s="191"/>
      <c r="E115" s="189" t="s">
        <v>199</v>
      </c>
      <c r="F115" s="190"/>
      <c r="G115" s="191"/>
      <c r="H115" s="189" t="s">
        <v>200</v>
      </c>
      <c r="I115" s="190"/>
      <c r="J115" s="191"/>
      <c r="K115" s="155"/>
      <c r="L115" s="154"/>
      <c r="M115" s="154"/>
      <c r="N115" s="153"/>
      <c r="O115" s="154"/>
      <c r="P115" s="154"/>
      <c r="Q115" s="153"/>
      <c r="R115" s="154"/>
      <c r="S115" s="154"/>
    </row>
    <row r="116" spans="1:20" ht="21" customHeight="1" x14ac:dyDescent="0.15">
      <c r="A116" s="144">
        <f>小3【S3】!$A$4</f>
        <v>1</v>
      </c>
      <c r="B116" s="145" t="str">
        <f>小3【S3】!$E$9</f>
        <v>国　語</v>
      </c>
      <c r="C116" s="146" t="str">
        <f>小3【S3】!$F$9</f>
        <v>言葉を分類する</v>
      </c>
      <c r="D116" s="146" t="str">
        <f>小3【S3】!$G$9</f>
        <v>現</v>
      </c>
      <c r="E116" s="145" t="str">
        <f>小3【S3】!$H$9</f>
        <v>国　語</v>
      </c>
      <c r="F116" s="146" t="str">
        <f>小3【S3】!$I$9</f>
        <v>冬の楽しみ</v>
      </c>
      <c r="G116" s="146" t="str">
        <f>小3【S3】!$J$9</f>
        <v>現</v>
      </c>
      <c r="H116" s="145" t="str">
        <f>小3【S3】!$K$9</f>
        <v>国　語</v>
      </c>
      <c r="I116" s="146" t="str">
        <f>小3【S3】!$L$9</f>
        <v>冬の楽しみ</v>
      </c>
      <c r="J116" s="146" t="str">
        <f>小3【S3】!$M$9</f>
        <v>現</v>
      </c>
      <c r="K116" s="156"/>
      <c r="L116" s="139"/>
      <c r="M116" s="139"/>
      <c r="N116" s="140"/>
      <c r="O116" s="139"/>
      <c r="P116" s="139"/>
      <c r="Q116" s="140"/>
      <c r="R116" s="139"/>
      <c r="S116" s="139"/>
    </row>
    <row r="117" spans="1:20" ht="21" customHeight="1" x14ac:dyDescent="0.15">
      <c r="A117" s="147">
        <f>小3【S3】!$A$5</f>
        <v>2</v>
      </c>
      <c r="B117" s="148" t="str">
        <f>小3【S3】!$E$10</f>
        <v>国　語</v>
      </c>
      <c r="C117" s="149" t="str">
        <f>小3【S3】!$F$10</f>
        <v>冬の楽しみ</v>
      </c>
      <c r="D117" s="149" t="str">
        <f>小3【S3】!$G$10</f>
        <v>現</v>
      </c>
      <c r="E117" s="148" t="str">
        <f>小3【S3】!$H$10</f>
        <v>社　会</v>
      </c>
      <c r="F117" s="149" t="str">
        <f>小3【S3】!$I$10</f>
        <v>はたらく人とわたしたちのくらし</v>
      </c>
      <c r="G117" s="149" t="str">
        <f>小3【S3】!$J$10</f>
        <v>現</v>
      </c>
      <c r="H117" s="148" t="str">
        <f>小3【S3】!$K$10</f>
        <v>理　科</v>
      </c>
      <c r="I117" s="149" t="str">
        <f>小3【S3】!$L$10</f>
        <v>ものの重さをしらべよう</v>
      </c>
      <c r="J117" s="149" t="str">
        <f>小3【S3】!$M$10</f>
        <v>現</v>
      </c>
      <c r="K117" s="156"/>
      <c r="L117" s="139"/>
      <c r="M117" s="139"/>
      <c r="N117" s="140"/>
      <c r="O117" s="139"/>
      <c r="P117" s="139"/>
      <c r="Q117" s="140"/>
      <c r="R117" s="139"/>
      <c r="S117" s="139"/>
    </row>
    <row r="118" spans="1:20" ht="21" customHeight="1" x14ac:dyDescent="0.15">
      <c r="A118" s="147">
        <f>小3【S3】!$A$6</f>
        <v>3</v>
      </c>
      <c r="B118" s="148" t="str">
        <f>小3【S3】!$E$11</f>
        <v>算　数</v>
      </c>
      <c r="C118" s="149" t="str">
        <f>小3【S3】!$F$11</f>
        <v>かくれた数はいくつ（小2）</v>
      </c>
      <c r="D118" s="149" t="str">
        <f>小3【S3】!$G$11</f>
        <v>ス</v>
      </c>
      <c r="E118" s="148" t="str">
        <f>小3【S3】!$H$11</f>
        <v>社　会</v>
      </c>
      <c r="F118" s="149" t="str">
        <f>小3【S3】!$I$11</f>
        <v>はたらく人とわたしたちのくらし</v>
      </c>
      <c r="G118" s="149" t="str">
        <f>小3【S3】!$J$11</f>
        <v>現</v>
      </c>
      <c r="H118" s="148" t="str">
        <f>小3【S3】!$K$11</f>
        <v>体　育</v>
      </c>
      <c r="I118" s="149" t="str">
        <f>小3【S3】!$L$11</f>
        <v>学習用具・教科用語</v>
      </c>
      <c r="J118" s="149" t="str">
        <f>小3【S3】!$M$11</f>
        <v>ス</v>
      </c>
      <c r="K118" s="156"/>
      <c r="L118" s="139"/>
      <c r="M118" s="139"/>
      <c r="N118" s="140"/>
      <c r="O118" s="139"/>
      <c r="P118" s="139"/>
      <c r="Q118" s="140"/>
      <c r="R118" s="139"/>
      <c r="S118" s="139"/>
    </row>
    <row r="119" spans="1:20" ht="21" customHeight="1" x14ac:dyDescent="0.15">
      <c r="A119" s="147">
        <f>小3【S3】!$A$7</f>
        <v>4</v>
      </c>
      <c r="B119" s="148" t="str">
        <f>小3【S3】!$E$12</f>
        <v>日本語</v>
      </c>
      <c r="C119" s="149" t="str">
        <f>小3【S3】!$F$12</f>
        <v>日本語能力試験</v>
      </c>
      <c r="D119" s="149" t="str">
        <f>小3【S3】!$G$12</f>
        <v>ス</v>
      </c>
      <c r="E119" s="148" t="str">
        <f>小3【S3】!$H$12</f>
        <v>日本語</v>
      </c>
      <c r="F119" s="149" t="str">
        <f>小3【S3】!$I$12</f>
        <v>日本語能力試験</v>
      </c>
      <c r="G119" s="149" t="str">
        <f>小3【S3】!$J$12</f>
        <v>ス</v>
      </c>
      <c r="H119" s="148" t="str">
        <f>小3【S3】!$K$12</f>
        <v>日本語</v>
      </c>
      <c r="I119" s="149" t="str">
        <f>小3【S3】!$L$12</f>
        <v>日本語能力試験</v>
      </c>
      <c r="J119" s="149" t="str">
        <f>小3【S3】!$M$12</f>
        <v>ス</v>
      </c>
      <c r="K119" s="156"/>
      <c r="L119" s="139"/>
      <c r="M119" s="139"/>
      <c r="N119" s="140"/>
      <c r="O119" s="139"/>
      <c r="P119" s="139"/>
      <c r="Q119" s="140"/>
      <c r="R119" s="139"/>
      <c r="S119" s="139"/>
    </row>
    <row r="120" spans="1:20" ht="21" customHeight="1" x14ac:dyDescent="0.15">
      <c r="A120" s="154"/>
      <c r="B120" s="153"/>
      <c r="C120" s="154"/>
      <c r="D120" s="154"/>
      <c r="E120" s="153"/>
      <c r="F120" s="154"/>
      <c r="G120" s="154"/>
      <c r="H120" s="153"/>
      <c r="I120" s="157"/>
      <c r="J120" s="157"/>
      <c r="K120" s="140"/>
      <c r="L120" s="139"/>
      <c r="M120" s="139"/>
      <c r="N120" s="140"/>
      <c r="O120" s="139"/>
      <c r="P120" s="139"/>
      <c r="Q120" s="140"/>
      <c r="R120" s="139"/>
      <c r="S120" s="139"/>
    </row>
    <row r="121" spans="1:20" ht="21" customHeight="1" x14ac:dyDescent="0.15">
      <c r="A121" s="139"/>
      <c r="B121" s="140"/>
      <c r="C121" s="185" t="str">
        <f>小3【S4】!$C$2</f>
        <v>小3　12月　【S4】　指導ユニット　モジュール（現学年・ステップ）配当計画</v>
      </c>
      <c r="D121" s="186"/>
      <c r="E121" s="186"/>
      <c r="F121" s="186"/>
      <c r="G121" s="187"/>
      <c r="H121" s="187"/>
      <c r="I121" s="187"/>
      <c r="J121" s="187"/>
      <c r="K121" s="187"/>
      <c r="L121" s="187"/>
      <c r="M121" s="188"/>
      <c r="N121" s="187"/>
      <c r="O121" s="139"/>
      <c r="P121" s="139"/>
      <c r="Q121" s="140"/>
      <c r="R121" s="139"/>
      <c r="S121" s="139"/>
    </row>
    <row r="122" spans="1:20" ht="21" customHeight="1" x14ac:dyDescent="0.15">
      <c r="A122" s="143" t="s">
        <v>191</v>
      </c>
      <c r="B122" s="189" t="s">
        <v>192</v>
      </c>
      <c r="C122" s="190"/>
      <c r="D122" s="191"/>
      <c r="E122" s="189" t="s">
        <v>193</v>
      </c>
      <c r="F122" s="190"/>
      <c r="G122" s="191"/>
      <c r="H122" s="189" t="s">
        <v>194</v>
      </c>
      <c r="I122" s="190"/>
      <c r="J122" s="191"/>
      <c r="K122" s="189" t="s">
        <v>195</v>
      </c>
      <c r="L122" s="190"/>
      <c r="M122" s="191"/>
      <c r="N122" s="189" t="s">
        <v>196</v>
      </c>
      <c r="O122" s="190"/>
      <c r="P122" s="191"/>
      <c r="Q122" s="189" t="s">
        <v>197</v>
      </c>
      <c r="R122" s="190"/>
      <c r="S122" s="191"/>
      <c r="T122" s="9"/>
    </row>
    <row r="123" spans="1:20" ht="21" customHeight="1" x14ac:dyDescent="0.15">
      <c r="A123" s="144">
        <f>小3【S4】!$A$4</f>
        <v>1</v>
      </c>
      <c r="B123" s="145" t="str">
        <f>小3【S4】!$B$4</f>
        <v>国　語</v>
      </c>
      <c r="C123" s="146" t="str">
        <f>小3【S4】!$C$4</f>
        <v>たから島のぼうけん</v>
      </c>
      <c r="D123" s="146" t="str">
        <f>小3【S4】!$D$4</f>
        <v>現</v>
      </c>
      <c r="E123" s="145" t="str">
        <f>小3【S4】!$E$4</f>
        <v>国　語</v>
      </c>
      <c r="F123" s="146" t="str">
        <f>小3【S4】!$F$4</f>
        <v>たから島のぼうけん</v>
      </c>
      <c r="G123" s="146" t="str">
        <f>小3【S4】!$G$4</f>
        <v>現</v>
      </c>
      <c r="H123" s="145" t="str">
        <f>小3【S4】!$H$4</f>
        <v>国　語</v>
      </c>
      <c r="I123" s="146" t="str">
        <f>小3【S4】!$I$4</f>
        <v>漢字の広場⑤</v>
      </c>
      <c r="J123" s="146" t="str">
        <f>小3【S4】!$J$4</f>
        <v>現</v>
      </c>
      <c r="K123" s="145" t="str">
        <f>小3【S4】!$K$4</f>
        <v>国　語</v>
      </c>
      <c r="L123" s="146" t="str">
        <f>小3【S4】!$L$4</f>
        <v>漢字の広場⑤</v>
      </c>
      <c r="M123" s="146" t="str">
        <f>小3【S4】!$M$4</f>
        <v>現</v>
      </c>
      <c r="N123" s="145" t="str">
        <f>小3【S4】!$N$4</f>
        <v>国　語</v>
      </c>
      <c r="O123" s="146" t="str">
        <f>小3【S4】!$O$4</f>
        <v>言葉を分類する</v>
      </c>
      <c r="P123" s="146" t="str">
        <f>小3【S4】!$P$4</f>
        <v>現</v>
      </c>
      <c r="Q123" s="145" t="str">
        <f>小3【S4】!$B$9</f>
        <v>国　語</v>
      </c>
      <c r="R123" s="146" t="str">
        <f>小3【S4】!$C$9</f>
        <v>冬の楽しみ</v>
      </c>
      <c r="S123" s="146" t="str">
        <f>小3【S4】!$D$9</f>
        <v>現</v>
      </c>
      <c r="T123" s="9"/>
    </row>
    <row r="124" spans="1:20" ht="21" customHeight="1" x14ac:dyDescent="0.15">
      <c r="A124" s="147">
        <f>小3【S4】!$A$5</f>
        <v>2</v>
      </c>
      <c r="B124" s="148" t="str">
        <f>小3【S4】!$B$5</f>
        <v>社　会</v>
      </c>
      <c r="C124" s="149" t="str">
        <f>小3【S4】!$C$5</f>
        <v>はたらく人とわたしたちのくらし</v>
      </c>
      <c r="D124" s="149" t="str">
        <f>小3【S4】!$D$5</f>
        <v>現</v>
      </c>
      <c r="E124" s="148" t="str">
        <f>小3【S4】!$E$5</f>
        <v>算　数</v>
      </c>
      <c r="F124" s="149" t="str">
        <f>小3【S4】!$F$5</f>
        <v>分数</v>
      </c>
      <c r="G124" s="149" t="str">
        <f>小3【S4】!$G$5</f>
        <v>現</v>
      </c>
      <c r="H124" s="148" t="str">
        <f>小3【S4】!$H$5</f>
        <v>算　数</v>
      </c>
      <c r="I124" s="149" t="str">
        <f>小3【S4】!$I$5</f>
        <v>べつべつに、いっしょに</v>
      </c>
      <c r="J124" s="149" t="str">
        <f>小3【S4】!$J$5</f>
        <v>現</v>
      </c>
      <c r="K124" s="148" t="str">
        <f>小3【S4】!$K$5</f>
        <v>算　数</v>
      </c>
      <c r="L124" s="149" t="str">
        <f>小3【S4】!$L$5</f>
        <v>べつべつに、いっしょに</v>
      </c>
      <c r="M124" s="149" t="str">
        <f>小3【S4】!$M$5</f>
        <v>現</v>
      </c>
      <c r="N124" s="148" t="str">
        <f>小3【S4】!$N$5</f>
        <v>国　語</v>
      </c>
      <c r="O124" s="149" t="str">
        <f>小3【S4】!$O$5</f>
        <v>言葉を分類する</v>
      </c>
      <c r="P124" s="149" t="str">
        <f>小3【S4】!$P$5</f>
        <v>現</v>
      </c>
      <c r="Q124" s="148" t="str">
        <f>小3【S4】!$B$10</f>
        <v>図　工</v>
      </c>
      <c r="R124" s="149" t="str">
        <f>小3【S4】!$C$10</f>
        <v>学習用具・教科用語</v>
      </c>
      <c r="S124" s="149" t="str">
        <f>小3【S4】!$D$10</f>
        <v>現</v>
      </c>
      <c r="T124" s="9"/>
    </row>
    <row r="125" spans="1:20" ht="21" customHeight="1" x14ac:dyDescent="0.15">
      <c r="A125" s="147">
        <f>小3【S4】!$A$6</f>
        <v>3</v>
      </c>
      <c r="B125" s="148" t="str">
        <f>小3【S4】!$B$6</f>
        <v>算　数</v>
      </c>
      <c r="C125" s="149" t="str">
        <f>小3【S4】!$C$6</f>
        <v>分数</v>
      </c>
      <c r="D125" s="149" t="str">
        <f>小3【S4】!$D$6</f>
        <v>現</v>
      </c>
      <c r="E125" s="148" t="str">
        <f>小3【S4】!$E$6</f>
        <v>音　楽</v>
      </c>
      <c r="F125" s="149" t="str">
        <f>小3【S4】!$F$6</f>
        <v>学習用具・教科用語</v>
      </c>
      <c r="G125" s="149" t="str">
        <f>小3【S4】!$G$6</f>
        <v>現</v>
      </c>
      <c r="H125" s="148" t="str">
        <f>小3【S4】!$H$6</f>
        <v>理　科</v>
      </c>
      <c r="I125" s="149" t="str">
        <f>小3【S4】!$I$6</f>
        <v>ものの重さをしらべよう</v>
      </c>
      <c r="J125" s="149" t="str">
        <f>小3【S4】!$J$6</f>
        <v>現</v>
      </c>
      <c r="K125" s="148" t="str">
        <f>小3【S4】!$K$6</f>
        <v>理　科</v>
      </c>
      <c r="L125" s="149" t="str">
        <f>小3【S4】!$L$6</f>
        <v>ものの重さをしらべよう</v>
      </c>
      <c r="M125" s="149" t="str">
        <f>小3【S4】!$M$6</f>
        <v>現</v>
      </c>
      <c r="N125" s="148" t="str">
        <f>小3【S4】!$N$6</f>
        <v>算　数</v>
      </c>
      <c r="O125" s="149" t="str">
        <f>小3【S4】!$O$6</f>
        <v>計算のきまり</v>
      </c>
      <c r="P125" s="149" t="str">
        <f>小3【S4】!$P$6</f>
        <v>現</v>
      </c>
      <c r="Q125" s="148" t="str">
        <f>小3【S4】!$B$11</f>
        <v>社　会</v>
      </c>
      <c r="R125" s="149" t="str">
        <f>小3【S4】!$C$11</f>
        <v>はたらく人とわたしたちのくらし</v>
      </c>
      <c r="S125" s="149" t="str">
        <f>小3【S4】!$D$11</f>
        <v>現</v>
      </c>
      <c r="T125" s="9"/>
    </row>
    <row r="126" spans="1:20" ht="21" customHeight="1" x14ac:dyDescent="0.15">
      <c r="A126" s="147">
        <f>小3【S4】!$A$7</f>
        <v>4</v>
      </c>
      <c r="B126" s="148" t="str">
        <f>小3【S4】!$B$7</f>
        <v>社　会</v>
      </c>
      <c r="C126" s="149" t="str">
        <f>小3【S4】!$C$7</f>
        <v>学習用具・教科用語</v>
      </c>
      <c r="D126" s="149" t="str">
        <f>小3【S4】!$D$7</f>
        <v>ス</v>
      </c>
      <c r="E126" s="148" t="str">
        <f>小3【S4】!$E$7</f>
        <v>日本語</v>
      </c>
      <c r="F126" s="149" t="str">
        <f>小3【S4】!$F$7</f>
        <v>日本の文化</v>
      </c>
      <c r="G126" s="149" t="str">
        <f>小3【S4】!$G$7</f>
        <v>ス</v>
      </c>
      <c r="H126" s="148" t="str">
        <f>小3【S4】!$H$7</f>
        <v>算　数</v>
      </c>
      <c r="I126" s="149" t="str">
        <f>小3【S4】!$I$7</f>
        <v>分数（小2）</v>
      </c>
      <c r="J126" s="149" t="str">
        <f>小3【S4】!$J$7</f>
        <v>ス</v>
      </c>
      <c r="K126" s="148" t="str">
        <f>小3【S4】!$K$7</f>
        <v>日本語</v>
      </c>
      <c r="L126" s="149" t="str">
        <f>小3【S4】!$L$7</f>
        <v>日本語能力試験</v>
      </c>
      <c r="M126" s="149" t="str">
        <f>小3【S4】!$M$7</f>
        <v>ス</v>
      </c>
      <c r="N126" s="148" t="str">
        <f>小3【S4】!$N$7</f>
        <v>体　育</v>
      </c>
      <c r="O126" s="149" t="str">
        <f>小3【S4】!$O$7</f>
        <v>学習用具・教科用語</v>
      </c>
      <c r="P126" s="149" t="str">
        <f>小3【S4】!$P$7</f>
        <v>ス</v>
      </c>
      <c r="Q126" s="148" t="str">
        <f>小3【S4】!$B$12</f>
        <v>理　科</v>
      </c>
      <c r="R126" s="149" t="str">
        <f>小3【S4】!$C$12</f>
        <v>学習用具・教科用語</v>
      </c>
      <c r="S126" s="149" t="str">
        <f>小3【S4】!$D$12</f>
        <v>ス</v>
      </c>
      <c r="T126" s="9"/>
    </row>
    <row r="127" spans="1:20" ht="21" customHeight="1" x14ac:dyDescent="0.15">
      <c r="A127" s="154"/>
      <c r="B127" s="153"/>
      <c r="C127" s="154"/>
      <c r="D127" s="154"/>
      <c r="E127" s="153"/>
      <c r="F127" s="154"/>
      <c r="G127" s="154"/>
      <c r="H127" s="153"/>
      <c r="I127" s="157"/>
      <c r="J127" s="157"/>
      <c r="K127" s="153"/>
      <c r="L127" s="154"/>
      <c r="M127" s="154"/>
      <c r="N127" s="153"/>
      <c r="O127" s="154"/>
      <c r="P127" s="154"/>
      <c r="Q127" s="153"/>
      <c r="R127" s="154"/>
      <c r="S127" s="154"/>
    </row>
    <row r="128" spans="1:20" ht="21" customHeight="1" x14ac:dyDescent="0.15">
      <c r="A128" s="139"/>
      <c r="B128" s="140"/>
      <c r="C128" s="139"/>
      <c r="D128" s="139"/>
      <c r="E128" s="140"/>
      <c r="F128" s="139"/>
      <c r="G128" s="139"/>
      <c r="H128" s="140"/>
      <c r="I128" s="158"/>
      <c r="J128" s="158"/>
      <c r="K128" s="140"/>
      <c r="L128" s="139"/>
      <c r="M128" s="139"/>
      <c r="N128" s="140"/>
      <c r="O128" s="139"/>
      <c r="P128" s="139"/>
      <c r="Q128" s="140"/>
      <c r="R128" s="139"/>
      <c r="S128" s="139"/>
    </row>
    <row r="129" spans="1:20" ht="21" customHeight="1" x14ac:dyDescent="0.15">
      <c r="A129" s="139"/>
      <c r="B129" s="141"/>
      <c r="C129" s="185" t="str">
        <f>小4【S2】!$C$2</f>
        <v>小4　12月　【S2】　指導ユニット　モジュール（現学年・ステップ）配当計画</v>
      </c>
      <c r="D129" s="186"/>
      <c r="E129" s="186"/>
      <c r="F129" s="186"/>
      <c r="G129" s="187"/>
      <c r="H129" s="187"/>
      <c r="I129" s="187"/>
      <c r="J129" s="187"/>
      <c r="K129" s="187"/>
      <c r="L129" s="187"/>
      <c r="M129" s="188"/>
      <c r="N129" s="187"/>
      <c r="O129" s="139"/>
      <c r="P129" s="142"/>
      <c r="Q129" s="140"/>
      <c r="R129" s="139"/>
      <c r="S129" s="139"/>
    </row>
    <row r="130" spans="1:20" ht="21" customHeight="1" x14ac:dyDescent="0.15">
      <c r="A130" s="143" t="s">
        <v>191</v>
      </c>
      <c r="B130" s="189" t="s">
        <v>192</v>
      </c>
      <c r="C130" s="190"/>
      <c r="D130" s="191"/>
      <c r="E130" s="189" t="s">
        <v>193</v>
      </c>
      <c r="F130" s="190"/>
      <c r="G130" s="191"/>
      <c r="H130" s="189" t="s">
        <v>194</v>
      </c>
      <c r="I130" s="190"/>
      <c r="J130" s="191"/>
      <c r="K130" s="189" t="s">
        <v>195</v>
      </c>
      <c r="L130" s="190"/>
      <c r="M130" s="191"/>
      <c r="N130" s="189" t="s">
        <v>196</v>
      </c>
      <c r="O130" s="190"/>
      <c r="P130" s="191"/>
      <c r="Q130" s="189" t="s">
        <v>197</v>
      </c>
      <c r="R130" s="190"/>
      <c r="S130" s="191"/>
      <c r="T130" s="9"/>
    </row>
    <row r="131" spans="1:20" ht="21" customHeight="1" x14ac:dyDescent="0.15">
      <c r="A131" s="144">
        <f>小4【S2】!$A$4</f>
        <v>1</v>
      </c>
      <c r="B131" s="145" t="str">
        <f>小4【S2】!$B$4</f>
        <v>国　語</v>
      </c>
      <c r="C131" s="146" t="str">
        <f>小4【S2】!$C$4</f>
        <v>短歌・俳句に親しもう</v>
      </c>
      <c r="D131" s="146" t="str">
        <f>小4【S2】!$D$4</f>
        <v>現</v>
      </c>
      <c r="E131" s="145" t="str">
        <f>小4【S2】!$E$4</f>
        <v>国　語</v>
      </c>
      <c r="F131" s="146" t="str">
        <f>小4【S2】!$F$4</f>
        <v>短歌・俳句に親しもう</v>
      </c>
      <c r="G131" s="146" t="str">
        <f>小4【S2】!$G$4</f>
        <v>現</v>
      </c>
      <c r="H131" s="145" t="str">
        <f>小4【S2】!$H$4</f>
        <v>国　語</v>
      </c>
      <c r="I131" s="146" t="str">
        <f>小4【S2】!$I$4</f>
        <v>短歌・俳句に親しもう</v>
      </c>
      <c r="J131" s="146" t="str">
        <f>小4【S2】!$J$4</f>
        <v>現</v>
      </c>
      <c r="K131" s="145" t="str">
        <f>小4【S2】!$K$4</f>
        <v>国　語</v>
      </c>
      <c r="L131" s="146" t="str">
        <f>小4【S2】!$L$4</f>
        <v>プラタナスの木</v>
      </c>
      <c r="M131" s="146" t="str">
        <f>小4【S2】!$M$4</f>
        <v>現</v>
      </c>
      <c r="N131" s="145" t="str">
        <f>小4【S2】!$N$4</f>
        <v>理　科</v>
      </c>
      <c r="O131" s="146" t="str">
        <f>小4【S2】!$O$4</f>
        <v>もののあたたまり方</v>
      </c>
      <c r="P131" s="146" t="str">
        <f>小4【S2】!$P$4</f>
        <v>現</v>
      </c>
      <c r="Q131" s="145" t="str">
        <f>小4【S2】!$B$9</f>
        <v>算　数</v>
      </c>
      <c r="R131" s="146" t="str">
        <f>小4【S2】!$C$9</f>
        <v>小数のわり算</v>
      </c>
      <c r="S131" s="146" t="str">
        <f>小4【S2】!$D$9</f>
        <v>現</v>
      </c>
      <c r="T131" s="9"/>
    </row>
    <row r="132" spans="1:20" ht="21" customHeight="1" x14ac:dyDescent="0.15">
      <c r="A132" s="147">
        <f>小4【S2】!$A$5</f>
        <v>2</v>
      </c>
      <c r="B132" s="148" t="str">
        <f>小4【S2】!$B$5</f>
        <v>算　数</v>
      </c>
      <c r="C132" s="149" t="str">
        <f>小4【S2】!$C$5</f>
        <v>小数のかけ算</v>
      </c>
      <c r="D132" s="149" t="str">
        <f>小4【S2】!$D$5</f>
        <v>現</v>
      </c>
      <c r="E132" s="148" t="str">
        <f>小4【S2】!$E$5</f>
        <v>社　会</v>
      </c>
      <c r="F132" s="149" t="str">
        <f>小4【S2】!$F$5</f>
        <v>わたしたちの県</v>
      </c>
      <c r="G132" s="149" t="str">
        <f>小4【S2】!$G$5</f>
        <v>現</v>
      </c>
      <c r="H132" s="148" t="str">
        <f>小4【S2】!$H$5</f>
        <v>算　数</v>
      </c>
      <c r="I132" s="149" t="str">
        <f>小4【S2】!$I$5</f>
        <v>小数のかけ算</v>
      </c>
      <c r="J132" s="149" t="str">
        <f>小4【S2】!$J$5</f>
        <v>現</v>
      </c>
      <c r="K132" s="148" t="str">
        <f>小4【S2】!$K$5</f>
        <v>社　会</v>
      </c>
      <c r="L132" s="149" t="str">
        <f>小4【S2】!$L$5</f>
        <v>学習用具・教科用語</v>
      </c>
      <c r="M132" s="149" t="str">
        <f>小4【S2】!$M$5</f>
        <v>ス</v>
      </c>
      <c r="N132" s="148" t="str">
        <f>小4【S2】!$N$5</f>
        <v>日本語</v>
      </c>
      <c r="O132" s="149" t="str">
        <f>小4【S2】!$O$5</f>
        <v>日本の文化</v>
      </c>
      <c r="P132" s="149" t="str">
        <f>小4【S2】!$P$5</f>
        <v>ス</v>
      </c>
      <c r="Q132" s="148" t="str">
        <f>小4【S2】!$B$10</f>
        <v>日本語</v>
      </c>
      <c r="R132" s="149" t="str">
        <f>小4【S2】!$C$10</f>
        <v>家庭生活</v>
      </c>
      <c r="S132" s="149" t="str">
        <f>小4【S2】!$D$10</f>
        <v>ス</v>
      </c>
      <c r="T132" s="9"/>
    </row>
    <row r="133" spans="1:20" ht="21" customHeight="1" x14ac:dyDescent="0.15">
      <c r="A133" s="147">
        <f>小4【S2】!$A$6</f>
        <v>3</v>
      </c>
      <c r="B133" s="148" t="str">
        <f>小4【S2】!$B$6</f>
        <v>社　会</v>
      </c>
      <c r="C133" s="149" t="str">
        <f>小4【S2】!$C$6</f>
        <v>学習用具・教科用語</v>
      </c>
      <c r="D133" s="149" t="str">
        <f>小4【S2】!$D$6</f>
        <v>ス</v>
      </c>
      <c r="E133" s="148" t="str">
        <f>小4【S2】!$E$6</f>
        <v>国　語</v>
      </c>
      <c r="F133" s="149" t="str">
        <f>小4【S2】!$F$6</f>
        <v>俳句を楽しもう（小3）</v>
      </c>
      <c r="G133" s="149" t="str">
        <f>小4【S2】!$G$6</f>
        <v>ス</v>
      </c>
      <c r="H133" s="148" t="str">
        <f>小4【S2】!$H$6</f>
        <v>国　語</v>
      </c>
      <c r="I133" s="149" t="str">
        <f>小4【S2】!$I$6</f>
        <v>短歌を楽しもう（小3）</v>
      </c>
      <c r="J133" s="149" t="str">
        <f>小4【S2】!$J$6</f>
        <v>ス</v>
      </c>
      <c r="K133" s="148" t="str">
        <f>小4【S2】!$K$6</f>
        <v>日本語</v>
      </c>
      <c r="L133" s="149" t="str">
        <f>小4【S2】!$L$6</f>
        <v>学校生活</v>
      </c>
      <c r="M133" s="149" t="str">
        <f>小4【S2】!$M$6</f>
        <v>ス</v>
      </c>
      <c r="N133" s="148" t="str">
        <f>小4【S2】!$N$6</f>
        <v>日本語</v>
      </c>
      <c r="O133" s="149" t="str">
        <f>小4【S2】!$O$6</f>
        <v>語彙</v>
      </c>
      <c r="P133" s="149" t="str">
        <f>小4【S2】!$P$6</f>
        <v>ス</v>
      </c>
      <c r="Q133" s="148" t="str">
        <f>小4【S2】!$B$11</f>
        <v>図　工</v>
      </c>
      <c r="R133" s="149" t="str">
        <f>小4【S2】!$C$11</f>
        <v>学習用具・教科用語</v>
      </c>
      <c r="S133" s="149" t="str">
        <f>小4【S2】!$D$11</f>
        <v>ス</v>
      </c>
      <c r="T133" s="9"/>
    </row>
    <row r="134" spans="1:20" ht="21" customHeight="1" x14ac:dyDescent="0.15">
      <c r="A134" s="147">
        <f>小4【S2】!$A$7</f>
        <v>4</v>
      </c>
      <c r="B134" s="148" t="str">
        <f>小4【S2】!$B$7</f>
        <v>算　数</v>
      </c>
      <c r="C134" s="149" t="str">
        <f>小4【S2】!$C$7</f>
        <v>小数（小3）</v>
      </c>
      <c r="D134" s="149" t="str">
        <f>小4【S2】!$D$7</f>
        <v>ス</v>
      </c>
      <c r="E134" s="148" t="str">
        <f>小4【S2】!$E$7</f>
        <v>算　数</v>
      </c>
      <c r="F134" s="149" t="str">
        <f>小4【S2】!$F$7</f>
        <v>小数（小3）</v>
      </c>
      <c r="G134" s="149" t="str">
        <f>小4【S2】!$G$7</f>
        <v>ス</v>
      </c>
      <c r="H134" s="148" t="str">
        <f>小4【S2】!$H$7</f>
        <v>日本語</v>
      </c>
      <c r="I134" s="149" t="str">
        <f>小4【S2】!$I$7</f>
        <v>語彙</v>
      </c>
      <c r="J134" s="149" t="str">
        <f>小4【S2】!$J$7</f>
        <v>ス</v>
      </c>
      <c r="K134" s="148" t="str">
        <f>小4【S2】!$K$7</f>
        <v>算　数</v>
      </c>
      <c r="L134" s="149" t="str">
        <f>小4【S2】!$L$7</f>
        <v>小数（小3）</v>
      </c>
      <c r="M134" s="149" t="str">
        <f>小4【S2】!$M$7</f>
        <v>ス</v>
      </c>
      <c r="N134" s="148" t="str">
        <f>小4【S2】!$N$7</f>
        <v>日本語</v>
      </c>
      <c r="O134" s="149" t="str">
        <f>小4【S2】!$O$7</f>
        <v>家庭生活</v>
      </c>
      <c r="P134" s="149" t="str">
        <f>小4【S2】!$P$7</f>
        <v>ス</v>
      </c>
      <c r="Q134" s="148" t="str">
        <f>小4【S2】!$B$12</f>
        <v>音　楽</v>
      </c>
      <c r="R134" s="149" t="str">
        <f>小4【S2】!$C$12</f>
        <v>学習用具・教科用語</v>
      </c>
      <c r="S134" s="149" t="str">
        <f>小4【S2】!$D$12</f>
        <v>ス</v>
      </c>
      <c r="T134" s="9"/>
    </row>
    <row r="135" spans="1:20" ht="21" customHeight="1" x14ac:dyDescent="0.15">
      <c r="A135" s="150"/>
      <c r="B135" s="189" t="s">
        <v>198</v>
      </c>
      <c r="C135" s="190"/>
      <c r="D135" s="191"/>
      <c r="E135" s="189" t="s">
        <v>199</v>
      </c>
      <c r="F135" s="190"/>
      <c r="G135" s="191"/>
      <c r="H135" s="189" t="s">
        <v>200</v>
      </c>
      <c r="I135" s="190"/>
      <c r="J135" s="191"/>
      <c r="K135" s="189" t="s">
        <v>201</v>
      </c>
      <c r="L135" s="190"/>
      <c r="M135" s="191"/>
      <c r="N135" s="189" t="s">
        <v>202</v>
      </c>
      <c r="O135" s="190"/>
      <c r="P135" s="191"/>
      <c r="Q135" s="189" t="s">
        <v>203</v>
      </c>
      <c r="R135" s="190"/>
      <c r="S135" s="191"/>
      <c r="T135" s="9"/>
    </row>
    <row r="136" spans="1:20" ht="21" customHeight="1" x14ac:dyDescent="0.15">
      <c r="A136" s="144">
        <f>小4【S2】!$A$4</f>
        <v>1</v>
      </c>
      <c r="B136" s="145" t="str">
        <f>小4【S2】!$E$9</f>
        <v>国　語</v>
      </c>
      <c r="C136" s="146" t="str">
        <f>小4【S2】!$F$9</f>
        <v>プラタナスの木</v>
      </c>
      <c r="D136" s="146" t="str">
        <f>小4【S2】!$G$9</f>
        <v>現</v>
      </c>
      <c r="E136" s="145" t="str">
        <f>小4【S2】!$H$9</f>
        <v>国　語</v>
      </c>
      <c r="F136" s="146" t="str">
        <f>小4【S2】!$I$9</f>
        <v>漢字の広場④</v>
      </c>
      <c r="G136" s="146" t="str">
        <f>小4【S2】!$J$9</f>
        <v>現</v>
      </c>
      <c r="H136" s="145" t="str">
        <f>小4【S2】!$K$9</f>
        <v>算　数</v>
      </c>
      <c r="I136" s="146" t="str">
        <f>小4【S2】!$L$9</f>
        <v>小数のわり算</v>
      </c>
      <c r="J136" s="146" t="str">
        <f>小4【S2】!$M$9</f>
        <v>現</v>
      </c>
      <c r="K136" s="145" t="str">
        <f>小4【S2】!$N$9</f>
        <v>国　語</v>
      </c>
      <c r="L136" s="146" t="str">
        <f>小4【S2】!$O$9</f>
        <v>文と文をつなぐ言葉</v>
      </c>
      <c r="M136" s="146" t="str">
        <f>小4【S2】!$P$9</f>
        <v>現</v>
      </c>
      <c r="N136" s="145" t="str">
        <f>小4【S2】!$B$14</f>
        <v>国　語</v>
      </c>
      <c r="O136" s="146" t="str">
        <f>小4【S2】!$C$14</f>
        <v>文と文をつなぐ言葉</v>
      </c>
      <c r="P136" s="146" t="str">
        <f>小4【S2】!$D$14</f>
        <v>現</v>
      </c>
      <c r="Q136" s="145" t="str">
        <f>小4【S2】!$E$14</f>
        <v>国　語</v>
      </c>
      <c r="R136" s="146" t="str">
        <f>小4【S2】!$F$14</f>
        <v>文と文をつなぐ言葉</v>
      </c>
      <c r="S136" s="146" t="str">
        <f>小4【S2】!$G$14</f>
        <v>現</v>
      </c>
      <c r="T136" s="9"/>
    </row>
    <row r="137" spans="1:20" ht="21" customHeight="1" x14ac:dyDescent="0.15">
      <c r="A137" s="147">
        <f>小4【S2】!$A$5</f>
        <v>2</v>
      </c>
      <c r="B137" s="148" t="str">
        <f>小4【S2】!$E$10</f>
        <v>国　語</v>
      </c>
      <c r="C137" s="149" t="str">
        <f>小4【S2】!$F$10</f>
        <v>プラタナスの木</v>
      </c>
      <c r="D137" s="149" t="str">
        <f>小4【S2】!$G$10</f>
        <v>現</v>
      </c>
      <c r="E137" s="148" t="str">
        <f>小4【S2】!$H$10</f>
        <v>算　数</v>
      </c>
      <c r="F137" s="149" t="str">
        <f>小4【S2】!$I$10</f>
        <v>小数のわり算</v>
      </c>
      <c r="G137" s="149" t="str">
        <f>小4【S2】!$J$10</f>
        <v>現</v>
      </c>
      <c r="H137" s="148" t="str">
        <f>小4【S2】!$K$10</f>
        <v>国　語</v>
      </c>
      <c r="I137" s="149" t="str">
        <f>小4【S2】!$L$10</f>
        <v>漢字の広場④</v>
      </c>
      <c r="J137" s="149" t="str">
        <f>小4【S2】!$M$10</f>
        <v>現</v>
      </c>
      <c r="K137" s="148" t="str">
        <f>小4【S2】!$N$10</f>
        <v>理　科</v>
      </c>
      <c r="L137" s="149" t="str">
        <f>小4【S2】!$O$10</f>
        <v>もののあたたまり方</v>
      </c>
      <c r="M137" s="149" t="str">
        <f>小4【S2】!$P$10</f>
        <v>現</v>
      </c>
      <c r="N137" s="148" t="str">
        <f>小4【S2】!$B$15</f>
        <v>日本語</v>
      </c>
      <c r="O137" s="149" t="str">
        <f>小4【S2】!$C$15</f>
        <v>家庭生活</v>
      </c>
      <c r="P137" s="149" t="str">
        <f>小4【S2】!$D$15</f>
        <v>ス</v>
      </c>
      <c r="Q137" s="148" t="str">
        <f>小4【S2】!$E$15</f>
        <v>算　数</v>
      </c>
      <c r="R137" s="149" t="str">
        <f>小4【S2】!$F$15</f>
        <v>小数（小3）</v>
      </c>
      <c r="S137" s="149" t="str">
        <f>小4【S2】!$G$15</f>
        <v>ス</v>
      </c>
      <c r="T137" s="9"/>
    </row>
    <row r="138" spans="1:20" ht="21" customHeight="1" x14ac:dyDescent="0.15">
      <c r="A138" s="147">
        <f>小4【S2】!$A$6</f>
        <v>3</v>
      </c>
      <c r="B138" s="148" t="str">
        <f>小4【S2】!$E$11</f>
        <v>日本語</v>
      </c>
      <c r="C138" s="149" t="str">
        <f>小4【S2】!$F$11</f>
        <v>学校生活</v>
      </c>
      <c r="D138" s="149" t="str">
        <f>小4【S2】!$G$11</f>
        <v>ス</v>
      </c>
      <c r="E138" s="148" t="str">
        <f>小4【S2】!$H$11</f>
        <v>日本語</v>
      </c>
      <c r="F138" s="149" t="str">
        <f>小4【S2】!$I$11</f>
        <v>語彙</v>
      </c>
      <c r="G138" s="149" t="str">
        <f>小4【S2】!$J$11</f>
        <v>ス</v>
      </c>
      <c r="H138" s="148" t="str">
        <f>小4【S2】!$K$11</f>
        <v>日本語</v>
      </c>
      <c r="I138" s="149" t="str">
        <f>小4【S2】!$L$11</f>
        <v>学校生活</v>
      </c>
      <c r="J138" s="149" t="str">
        <f>小4【S2】!$M$11</f>
        <v>ス</v>
      </c>
      <c r="K138" s="148" t="str">
        <f>小4【S2】!$N$11</f>
        <v>国　語</v>
      </c>
      <c r="L138" s="149">
        <f>小4【S2】!$O$11</f>
        <v>0</v>
      </c>
      <c r="M138" s="149" t="str">
        <f>小4【S2】!$P$11</f>
        <v>ス</v>
      </c>
      <c r="N138" s="148" t="str">
        <f>小4【S2】!$B$16</f>
        <v>日本語</v>
      </c>
      <c r="O138" s="149" t="str">
        <f>小4【S2】!$C$16</f>
        <v>語彙</v>
      </c>
      <c r="P138" s="149" t="str">
        <f>小4【S2】!$D$16</f>
        <v>ス</v>
      </c>
      <c r="Q138" s="148" t="str">
        <f>小4【S2】!$E$16</f>
        <v>理　科</v>
      </c>
      <c r="R138" s="149" t="str">
        <f>小4【S2】!$F$16</f>
        <v>学習用具・教科用語</v>
      </c>
      <c r="S138" s="149" t="str">
        <f>小4【S2】!$G$16</f>
        <v>ス</v>
      </c>
      <c r="T138" s="9"/>
    </row>
    <row r="139" spans="1:20" ht="21" customHeight="1" x14ac:dyDescent="0.15">
      <c r="A139" s="147">
        <f>小4【S2】!$A$7</f>
        <v>4</v>
      </c>
      <c r="B139" s="148" t="str">
        <f>小4【S2】!$E$12</f>
        <v>算　数</v>
      </c>
      <c r="C139" s="149" t="str">
        <f>小4【S2】!$F$12</f>
        <v>小数（小3）</v>
      </c>
      <c r="D139" s="149" t="str">
        <f>小4【S2】!$G$12</f>
        <v>ス</v>
      </c>
      <c r="E139" s="148" t="str">
        <f>小4【S2】!$H$12</f>
        <v>算　数</v>
      </c>
      <c r="F139" s="149" t="str">
        <f>小4【S2】!$I$12</f>
        <v>小数（小3）</v>
      </c>
      <c r="G139" s="149" t="str">
        <f>小4【S2】!$J$12</f>
        <v>ス</v>
      </c>
      <c r="H139" s="148" t="str">
        <f>小4【S2】!$K$12</f>
        <v>算　数</v>
      </c>
      <c r="I139" s="149" t="str">
        <f>小4【S2】!$L$12</f>
        <v>小数（小3）</v>
      </c>
      <c r="J139" s="149" t="str">
        <f>小4【S2】!$M$12</f>
        <v>ス</v>
      </c>
      <c r="K139" s="148" t="str">
        <f>小4【S2】!$N$12</f>
        <v>体　育</v>
      </c>
      <c r="L139" s="149" t="str">
        <f>小4【S2】!$O$12</f>
        <v>学習用具・教科用語</v>
      </c>
      <c r="M139" s="149" t="str">
        <f>小4【S2】!$P$12</f>
        <v>ス</v>
      </c>
      <c r="N139" s="148" t="str">
        <f>小4【S2】!$B$17</f>
        <v>社　会</v>
      </c>
      <c r="O139" s="149" t="str">
        <f>小4【S2】!$C$17</f>
        <v>学習用具・教科用語</v>
      </c>
      <c r="P139" s="149" t="str">
        <f>小4【S2】!$D$17</f>
        <v>ス</v>
      </c>
      <c r="Q139" s="148" t="str">
        <f>小4【S2】!$E$17</f>
        <v>日本語</v>
      </c>
      <c r="R139" s="149" t="str">
        <f>小4【S2】!$F$17</f>
        <v>日本語能力試験</v>
      </c>
      <c r="S139" s="149" t="str">
        <f>小4【S2】!$G$17</f>
        <v>ス</v>
      </c>
      <c r="T139" s="9"/>
    </row>
    <row r="140" spans="1:20" ht="21" customHeight="1" x14ac:dyDescent="0.15">
      <c r="A140" s="150"/>
      <c r="B140" s="150"/>
      <c r="C140" s="151"/>
      <c r="D140" s="151"/>
      <c r="E140" s="150"/>
      <c r="F140" s="151"/>
      <c r="G140" s="151"/>
      <c r="H140" s="150"/>
      <c r="I140" s="152"/>
      <c r="J140" s="152"/>
      <c r="K140" s="150"/>
      <c r="L140" s="151"/>
      <c r="M140" s="151"/>
      <c r="N140" s="150"/>
      <c r="O140" s="151"/>
      <c r="P140" s="151"/>
      <c r="Q140" s="153"/>
      <c r="R140" s="154"/>
      <c r="S140" s="154"/>
    </row>
    <row r="141" spans="1:20" ht="21" customHeight="1" x14ac:dyDescent="0.15">
      <c r="A141" s="139"/>
      <c r="B141" s="140"/>
      <c r="C141" s="185" t="str">
        <f>小4【S3】!$C$2</f>
        <v>小4　12月　【S3】　指導ユニット　モジュール（現学年・ステップ）配当計画</v>
      </c>
      <c r="D141" s="186"/>
      <c r="E141" s="186"/>
      <c r="F141" s="186"/>
      <c r="G141" s="187"/>
      <c r="H141" s="187"/>
      <c r="I141" s="187"/>
      <c r="J141" s="187"/>
      <c r="K141" s="187"/>
      <c r="L141" s="187"/>
      <c r="M141" s="188"/>
      <c r="N141" s="187"/>
      <c r="O141" s="139"/>
      <c r="P141" s="139"/>
      <c r="Q141" s="140"/>
      <c r="R141" s="139"/>
      <c r="S141" s="139"/>
    </row>
    <row r="142" spans="1:20" ht="21" customHeight="1" x14ac:dyDescent="0.15">
      <c r="A142" s="143" t="s">
        <v>191</v>
      </c>
      <c r="B142" s="189" t="s">
        <v>192</v>
      </c>
      <c r="C142" s="190"/>
      <c r="D142" s="191"/>
      <c r="E142" s="189" t="s">
        <v>193</v>
      </c>
      <c r="F142" s="190"/>
      <c r="G142" s="191"/>
      <c r="H142" s="189" t="s">
        <v>194</v>
      </c>
      <c r="I142" s="190"/>
      <c r="J142" s="191"/>
      <c r="K142" s="189" t="s">
        <v>195</v>
      </c>
      <c r="L142" s="190"/>
      <c r="M142" s="191"/>
      <c r="N142" s="189" t="s">
        <v>196</v>
      </c>
      <c r="O142" s="190"/>
      <c r="P142" s="191"/>
      <c r="Q142" s="189" t="s">
        <v>197</v>
      </c>
      <c r="R142" s="190"/>
      <c r="S142" s="191"/>
      <c r="T142" s="9"/>
    </row>
    <row r="143" spans="1:20" ht="21" customHeight="1" x14ac:dyDescent="0.15">
      <c r="A143" s="144">
        <f>小4【S3】!$A$4</f>
        <v>1</v>
      </c>
      <c r="B143" s="145" t="str">
        <f>小4【S3】!$B$4</f>
        <v>国　語</v>
      </c>
      <c r="C143" s="146" t="str">
        <f>小4【S3】!$C$4</f>
        <v>短歌・俳句に親しもう</v>
      </c>
      <c r="D143" s="146" t="str">
        <f>小4【S3】!$D$4</f>
        <v>現</v>
      </c>
      <c r="E143" s="145" t="str">
        <f>小4【S3】!$E$4</f>
        <v>国　語</v>
      </c>
      <c r="F143" s="146" t="str">
        <f>小4【S3】!$F$4</f>
        <v>短歌・俳句に親しもう</v>
      </c>
      <c r="G143" s="146" t="str">
        <f>小4【S3】!$G$4</f>
        <v>現</v>
      </c>
      <c r="H143" s="145" t="str">
        <f>小4【S3】!$H$4</f>
        <v>国　語</v>
      </c>
      <c r="I143" s="146" t="str">
        <f>小4【S3】!$I$4</f>
        <v>プラタナスの木</v>
      </c>
      <c r="J143" s="146" t="str">
        <f>小4【S3】!$J$4</f>
        <v>現</v>
      </c>
      <c r="K143" s="145" t="str">
        <f>小4【S3】!$K$4</f>
        <v>国　語</v>
      </c>
      <c r="L143" s="146" t="str">
        <f>小4【S3】!$L$4</f>
        <v>プラタナスの木</v>
      </c>
      <c r="M143" s="146" t="str">
        <f>小4【S3】!$M$4</f>
        <v>現</v>
      </c>
      <c r="N143" s="145" t="str">
        <f>小4【S3】!$N$4</f>
        <v>国　語</v>
      </c>
      <c r="O143" s="146" t="str">
        <f>小4【S3】!$O$4</f>
        <v>プラタナスの木</v>
      </c>
      <c r="P143" s="146" t="str">
        <f>小4【S3】!$P$4</f>
        <v>現</v>
      </c>
      <c r="Q143" s="145" t="str">
        <f>小4【S3】!$B$9</f>
        <v>国　語</v>
      </c>
      <c r="R143" s="146" t="str">
        <f>小4【S3】!$C$9</f>
        <v>漢字の広場④</v>
      </c>
      <c r="S143" s="146" t="str">
        <f>小4【S3】!$D$9</f>
        <v>現</v>
      </c>
      <c r="T143" s="9"/>
    </row>
    <row r="144" spans="1:20" ht="21" customHeight="1" x14ac:dyDescent="0.15">
      <c r="A144" s="147">
        <f>小4【S3】!$A$5</f>
        <v>2</v>
      </c>
      <c r="B144" s="148" t="str">
        <f>小4【S3】!$B$5</f>
        <v>算　数</v>
      </c>
      <c r="C144" s="149" t="str">
        <f>小4【S3】!$C$5</f>
        <v>小数のかけ算</v>
      </c>
      <c r="D144" s="149" t="str">
        <f>小4【S3】!$D$5</f>
        <v>現</v>
      </c>
      <c r="E144" s="148" t="str">
        <f>小4【S3】!$E$5</f>
        <v>国　語</v>
      </c>
      <c r="F144" s="149" t="str">
        <f>小4【S3】!$F$5</f>
        <v>短歌・俳句に親しもう</v>
      </c>
      <c r="G144" s="149" t="str">
        <f>小4【S3】!$G$5</f>
        <v>現</v>
      </c>
      <c r="H144" s="148" t="str">
        <f>小4【S3】!$H$5</f>
        <v>算　数</v>
      </c>
      <c r="I144" s="149" t="str">
        <f>小4【S3】!$I$5</f>
        <v>小数のわり算</v>
      </c>
      <c r="J144" s="149" t="str">
        <f>小4【S3】!$J$5</f>
        <v>現</v>
      </c>
      <c r="K144" s="148" t="str">
        <f>小4【S3】!$K$5</f>
        <v>算　数</v>
      </c>
      <c r="L144" s="149" t="str">
        <f>小4【S3】!$L$5</f>
        <v>小数のわり算</v>
      </c>
      <c r="M144" s="149" t="str">
        <f>小4【S3】!$M$5</f>
        <v>現</v>
      </c>
      <c r="N144" s="148" t="str">
        <f>小4【S3】!$N$5</f>
        <v>算　数</v>
      </c>
      <c r="O144" s="149" t="str">
        <f>小4【S3】!$O$5</f>
        <v>小数のわり算</v>
      </c>
      <c r="P144" s="149" t="str">
        <f>小4【S3】!$P$5</f>
        <v>現</v>
      </c>
      <c r="Q144" s="148" t="str">
        <f>小4【S3】!$B$10</f>
        <v>図　工</v>
      </c>
      <c r="R144" s="149" t="str">
        <f>小4【S3】!$C$10</f>
        <v>学習用具・教科用語</v>
      </c>
      <c r="S144" s="149" t="str">
        <f>小4【S3】!$D$10</f>
        <v>現</v>
      </c>
      <c r="T144" s="9"/>
    </row>
    <row r="145" spans="1:20" ht="21" customHeight="1" x14ac:dyDescent="0.15">
      <c r="A145" s="147">
        <f>小4【S3】!$A$6</f>
        <v>3</v>
      </c>
      <c r="B145" s="148" t="str">
        <f>小4【S3】!$B$6</f>
        <v>日本語</v>
      </c>
      <c r="C145" s="149" t="str">
        <f>小4【S3】!$C$6</f>
        <v>語彙</v>
      </c>
      <c r="D145" s="149" t="str">
        <f>小4【S3】!$D$6</f>
        <v>ス</v>
      </c>
      <c r="E145" s="148" t="str">
        <f>小4【S3】!$E$6</f>
        <v>算　数</v>
      </c>
      <c r="F145" s="149" t="str">
        <f>小4【S3】!$F$6</f>
        <v>小数のかけ算</v>
      </c>
      <c r="G145" s="149" t="str">
        <f>小4【S3】!$G$6</f>
        <v>現</v>
      </c>
      <c r="H145" s="148" t="str">
        <f>小4【S3】!$H$6</f>
        <v>理　科</v>
      </c>
      <c r="I145" s="149" t="str">
        <f>小4【S3】!$I$6</f>
        <v>もののあたたまり方</v>
      </c>
      <c r="J145" s="149" t="str">
        <f>小4【S3】!$J$6</f>
        <v>現</v>
      </c>
      <c r="K145" s="148" t="str">
        <f>小4【S3】!$K$6</f>
        <v>日本語</v>
      </c>
      <c r="L145" s="149" t="str">
        <f>小4【S3】!$L$6</f>
        <v>日本の文化</v>
      </c>
      <c r="M145" s="149" t="str">
        <f>小4【S3】!$M$6</f>
        <v>ス</v>
      </c>
      <c r="N145" s="148" t="str">
        <f>小4【S3】!$N$6</f>
        <v>社　会</v>
      </c>
      <c r="O145" s="149" t="str">
        <f>小4【S3】!$O$6</f>
        <v>わたしたちの県</v>
      </c>
      <c r="P145" s="149" t="str">
        <f>小4【S3】!$P$6</f>
        <v>現</v>
      </c>
      <c r="Q145" s="148" t="str">
        <f>小4【S3】!$B$11</f>
        <v>日本語</v>
      </c>
      <c r="R145" s="149" t="str">
        <f>小4【S3】!$C$11</f>
        <v>家庭生活</v>
      </c>
      <c r="S145" s="149" t="str">
        <f>小4【S3】!$D$11</f>
        <v>ス</v>
      </c>
      <c r="T145" s="9"/>
    </row>
    <row r="146" spans="1:20" ht="21" customHeight="1" x14ac:dyDescent="0.15">
      <c r="A146" s="147">
        <f>小4【S3】!$A$7</f>
        <v>4</v>
      </c>
      <c r="B146" s="148" t="str">
        <f>小4【S3】!$B$7</f>
        <v>理　科</v>
      </c>
      <c r="C146" s="149" t="str">
        <f>小4【S3】!$C$7</f>
        <v>学習用具・教科用語</v>
      </c>
      <c r="D146" s="149" t="str">
        <f>小4【S3】!$D$7</f>
        <v>ス</v>
      </c>
      <c r="E146" s="148" t="str">
        <f>小4【S3】!$E$7</f>
        <v>日本語</v>
      </c>
      <c r="F146" s="149" t="str">
        <f>小4【S3】!$F$7</f>
        <v>語彙</v>
      </c>
      <c r="G146" s="149" t="str">
        <f>小4【S3】!$G$7</f>
        <v>ス</v>
      </c>
      <c r="H146" s="148" t="str">
        <f>小4【S3】!$H$7</f>
        <v>算　数</v>
      </c>
      <c r="I146" s="149" t="str">
        <f>小4【S3】!$I$7</f>
        <v>小数（小3）</v>
      </c>
      <c r="J146" s="149" t="str">
        <f>小4【S3】!$J$7</f>
        <v>ス</v>
      </c>
      <c r="K146" s="148" t="str">
        <f>小4【S3】!$K$7</f>
        <v>算　数</v>
      </c>
      <c r="L146" s="149" t="str">
        <f>小4【S3】!$L$7</f>
        <v>小数（小3）</v>
      </c>
      <c r="M146" s="149" t="str">
        <f>小4【S3】!$M$7</f>
        <v>ス</v>
      </c>
      <c r="N146" s="148" t="str">
        <f>小4【S3】!$N$7</f>
        <v>算　数</v>
      </c>
      <c r="O146" s="149" t="str">
        <f>小4【S3】!$O$7</f>
        <v>小数（小3）</v>
      </c>
      <c r="P146" s="149" t="str">
        <f>小4【S3】!$P$7</f>
        <v>ス</v>
      </c>
      <c r="Q146" s="148" t="str">
        <f>小4【S3】!$B$12</f>
        <v>社　会</v>
      </c>
      <c r="R146" s="149" t="str">
        <f>小4【S3】!$C$12</f>
        <v>学習用具・教科用語</v>
      </c>
      <c r="S146" s="149" t="str">
        <f>小4【S3】!$D$12</f>
        <v>ス</v>
      </c>
      <c r="T146" s="9"/>
    </row>
    <row r="147" spans="1:20" ht="21" customHeight="1" x14ac:dyDescent="0.15">
      <c r="A147" s="150"/>
      <c r="B147" s="189" t="s">
        <v>198</v>
      </c>
      <c r="C147" s="190"/>
      <c r="D147" s="191"/>
      <c r="E147" s="189" t="s">
        <v>199</v>
      </c>
      <c r="F147" s="190"/>
      <c r="G147" s="191"/>
      <c r="H147" s="189" t="s">
        <v>200</v>
      </c>
      <c r="I147" s="190"/>
      <c r="J147" s="191"/>
      <c r="K147" s="155"/>
      <c r="L147" s="154"/>
      <c r="M147" s="154"/>
      <c r="N147" s="153"/>
      <c r="O147" s="154"/>
      <c r="P147" s="154"/>
      <c r="Q147" s="153"/>
      <c r="R147" s="154"/>
      <c r="S147" s="154"/>
    </row>
    <row r="148" spans="1:20" ht="21" customHeight="1" x14ac:dyDescent="0.15">
      <c r="A148" s="144">
        <f>小4【S3】!$A$4</f>
        <v>1</v>
      </c>
      <c r="B148" s="145" t="str">
        <f>小4【S3】!$E$9</f>
        <v>国　語</v>
      </c>
      <c r="C148" s="146" t="str">
        <f>小4【S3】!$F$9</f>
        <v>漢字の広場④</v>
      </c>
      <c r="D148" s="146" t="str">
        <f>小4【S3】!$G$9</f>
        <v>現</v>
      </c>
      <c r="E148" s="145" t="str">
        <f>小4【S3】!$H$9</f>
        <v>国　語</v>
      </c>
      <c r="F148" s="146" t="str">
        <f>小4【S3】!$I$9</f>
        <v>文と文をつなぐ言葉</v>
      </c>
      <c r="G148" s="146" t="str">
        <f>小4【S3】!$J$9</f>
        <v>現</v>
      </c>
      <c r="H148" s="145" t="str">
        <f>小4【S3】!$K$9</f>
        <v>国　語</v>
      </c>
      <c r="I148" s="146" t="str">
        <f>小4【S3】!$L$9</f>
        <v>文と文をつなぐ言葉</v>
      </c>
      <c r="J148" s="146" t="str">
        <f>小4【S3】!$M$9</f>
        <v>現</v>
      </c>
      <c r="K148" s="156"/>
      <c r="L148" s="139"/>
      <c r="M148" s="139"/>
      <c r="N148" s="140"/>
      <c r="O148" s="139"/>
      <c r="P148" s="139"/>
      <c r="Q148" s="140"/>
      <c r="R148" s="139"/>
      <c r="S148" s="139"/>
    </row>
    <row r="149" spans="1:20" ht="21" customHeight="1" x14ac:dyDescent="0.15">
      <c r="A149" s="147">
        <f>小4【S3】!$A$5</f>
        <v>2</v>
      </c>
      <c r="B149" s="148" t="str">
        <f>小4【S3】!$E$10</f>
        <v>国　語</v>
      </c>
      <c r="C149" s="149" t="str">
        <f>小4【S3】!$F$10</f>
        <v>文と文をつなぐ言葉</v>
      </c>
      <c r="D149" s="149" t="str">
        <f>小4【S3】!$G$10</f>
        <v>現</v>
      </c>
      <c r="E149" s="148" t="str">
        <f>小4【S3】!$H$10</f>
        <v>社　会</v>
      </c>
      <c r="F149" s="149" t="str">
        <f>小4【S3】!$I$10</f>
        <v>わたしたちの県</v>
      </c>
      <c r="G149" s="149" t="str">
        <f>小4【S3】!$J$10</f>
        <v>現</v>
      </c>
      <c r="H149" s="148" t="str">
        <f>小4【S3】!$K$10</f>
        <v>理　科</v>
      </c>
      <c r="I149" s="149" t="str">
        <f>小4【S3】!$L$10</f>
        <v>もののあたたまり方</v>
      </c>
      <c r="J149" s="149" t="str">
        <f>小4【S3】!$M$10</f>
        <v>現</v>
      </c>
      <c r="K149" s="156"/>
      <c r="L149" s="139"/>
      <c r="M149" s="139"/>
      <c r="N149" s="140"/>
      <c r="O149" s="139"/>
      <c r="P149" s="139"/>
      <c r="Q149" s="140"/>
      <c r="R149" s="139"/>
      <c r="S149" s="139"/>
    </row>
    <row r="150" spans="1:20" ht="21" customHeight="1" x14ac:dyDescent="0.15">
      <c r="A150" s="147">
        <f>小4【S3】!$A$6</f>
        <v>3</v>
      </c>
      <c r="B150" s="148" t="str">
        <f>小4【S3】!$E$11</f>
        <v>算　数</v>
      </c>
      <c r="C150" s="149" t="str">
        <f>小4【S3】!$F$11</f>
        <v>小数（小3）</v>
      </c>
      <c r="D150" s="149" t="str">
        <f>小4【S3】!$G$11</f>
        <v>ス</v>
      </c>
      <c r="E150" s="148" t="str">
        <f>小4【S3】!$H$11</f>
        <v>音　楽</v>
      </c>
      <c r="F150" s="149" t="str">
        <f>小4【S3】!$I$11</f>
        <v>学習用具・教科用語</v>
      </c>
      <c r="G150" s="149" t="str">
        <f>小4【S3】!$J$11</f>
        <v>現</v>
      </c>
      <c r="H150" s="148" t="str">
        <f>小4【S3】!$K$11</f>
        <v>体　育</v>
      </c>
      <c r="I150" s="149" t="str">
        <f>小4【S3】!$L$11</f>
        <v>学習用具・教科用語</v>
      </c>
      <c r="J150" s="149" t="str">
        <f>小4【S3】!$M$11</f>
        <v>ス</v>
      </c>
      <c r="K150" s="156"/>
      <c r="L150" s="139"/>
      <c r="M150" s="139"/>
      <c r="N150" s="140"/>
      <c r="O150" s="139"/>
      <c r="P150" s="139"/>
      <c r="Q150" s="140"/>
      <c r="R150" s="139"/>
      <c r="S150" s="139"/>
    </row>
    <row r="151" spans="1:20" ht="21" customHeight="1" x14ac:dyDescent="0.15">
      <c r="A151" s="147">
        <f>小4【S3】!$A$7</f>
        <v>4</v>
      </c>
      <c r="B151" s="148" t="str">
        <f>小4【S3】!$E$12</f>
        <v>日本語</v>
      </c>
      <c r="C151" s="149" t="str">
        <f>小4【S3】!$F$12</f>
        <v>日本語能力試験</v>
      </c>
      <c r="D151" s="149" t="str">
        <f>小4【S3】!$G$12</f>
        <v>ス</v>
      </c>
      <c r="E151" s="148" t="str">
        <f>小4【S3】!$H$12</f>
        <v>国　語</v>
      </c>
      <c r="F151" s="149" t="str">
        <f>小4【S3】!$I$12</f>
        <v>つなぎ言葉（小2）</v>
      </c>
      <c r="G151" s="149" t="str">
        <f>小4【S3】!$J$12</f>
        <v>ス</v>
      </c>
      <c r="H151" s="148" t="str">
        <f>小4【S3】!$K$12</f>
        <v>日本語</v>
      </c>
      <c r="I151" s="149" t="str">
        <f>小4【S3】!$L$12</f>
        <v>学校生活</v>
      </c>
      <c r="J151" s="149" t="str">
        <f>小4【S3】!$M$12</f>
        <v>ス</v>
      </c>
      <c r="K151" s="156"/>
      <c r="L151" s="139"/>
      <c r="M151" s="139"/>
      <c r="N151" s="140"/>
      <c r="O151" s="139"/>
      <c r="P151" s="139"/>
      <c r="Q151" s="140"/>
      <c r="R151" s="139"/>
      <c r="S151" s="139"/>
    </row>
    <row r="152" spans="1:20" ht="21" customHeight="1" x14ac:dyDescent="0.15">
      <c r="A152" s="154"/>
      <c r="B152" s="153"/>
      <c r="C152" s="154"/>
      <c r="D152" s="154"/>
      <c r="E152" s="153"/>
      <c r="F152" s="154"/>
      <c r="G152" s="154"/>
      <c r="H152" s="153"/>
      <c r="I152" s="157"/>
      <c r="J152" s="157"/>
      <c r="K152" s="140"/>
      <c r="L152" s="139"/>
      <c r="M152" s="139"/>
      <c r="N152" s="140"/>
      <c r="O152" s="139"/>
      <c r="P152" s="139"/>
      <c r="Q152" s="140"/>
      <c r="R152" s="139"/>
      <c r="S152" s="139"/>
    </row>
    <row r="153" spans="1:20" ht="21" customHeight="1" x14ac:dyDescent="0.15">
      <c r="A153" s="139"/>
      <c r="B153" s="140"/>
      <c r="C153" s="185" t="str">
        <f>小4【S4】!$C$2</f>
        <v>小4　12月　【S4】　指導ユニット　モジュール（現学年・ステップ）配当計画</v>
      </c>
      <c r="D153" s="186"/>
      <c r="E153" s="186"/>
      <c r="F153" s="186"/>
      <c r="G153" s="187"/>
      <c r="H153" s="187"/>
      <c r="I153" s="187"/>
      <c r="J153" s="187"/>
      <c r="K153" s="187"/>
      <c r="L153" s="187"/>
      <c r="M153" s="188"/>
      <c r="N153" s="187"/>
      <c r="O153" s="139"/>
      <c r="P153" s="139"/>
      <c r="Q153" s="140"/>
      <c r="R153" s="139"/>
      <c r="S153" s="139"/>
    </row>
    <row r="154" spans="1:20" ht="21" customHeight="1" x14ac:dyDescent="0.15">
      <c r="A154" s="143" t="s">
        <v>191</v>
      </c>
      <c r="B154" s="189" t="s">
        <v>192</v>
      </c>
      <c r="C154" s="190"/>
      <c r="D154" s="191"/>
      <c r="E154" s="189" t="s">
        <v>193</v>
      </c>
      <c r="F154" s="190"/>
      <c r="G154" s="191"/>
      <c r="H154" s="189" t="s">
        <v>194</v>
      </c>
      <c r="I154" s="190"/>
      <c r="J154" s="191"/>
      <c r="K154" s="189" t="s">
        <v>195</v>
      </c>
      <c r="L154" s="190"/>
      <c r="M154" s="191"/>
      <c r="N154" s="189" t="s">
        <v>196</v>
      </c>
      <c r="O154" s="190"/>
      <c r="P154" s="191"/>
      <c r="Q154" s="189" t="s">
        <v>197</v>
      </c>
      <c r="R154" s="190"/>
      <c r="S154" s="191"/>
      <c r="T154" s="9"/>
    </row>
    <row r="155" spans="1:20" ht="21" customHeight="1" x14ac:dyDescent="0.15">
      <c r="A155" s="144">
        <f>小4【S4】!$A$4</f>
        <v>1</v>
      </c>
      <c r="B155" s="145" t="str">
        <f>小4【S4】!$B$4</f>
        <v>国　語</v>
      </c>
      <c r="C155" s="146" t="str">
        <f>小4【S4】!$C$4</f>
        <v>短歌・俳句に親しもう</v>
      </c>
      <c r="D155" s="146" t="str">
        <f>小4【S4】!$D$4</f>
        <v>現</v>
      </c>
      <c r="E155" s="145" t="str">
        <f>小4【S4】!$E$4</f>
        <v>国　語</v>
      </c>
      <c r="F155" s="146" t="str">
        <f>小4【S4】!$F$4</f>
        <v>プラタナスの木</v>
      </c>
      <c r="G155" s="146" t="str">
        <f>小4【S4】!$G$4</f>
        <v>現</v>
      </c>
      <c r="H155" s="145" t="str">
        <f>小4【S4】!$H$4</f>
        <v>国　語</v>
      </c>
      <c r="I155" s="146" t="str">
        <f>小4【S4】!$I$4</f>
        <v>プラタナスの木</v>
      </c>
      <c r="J155" s="146" t="str">
        <f>小4【S4】!$J$4</f>
        <v>現</v>
      </c>
      <c r="K155" s="145" t="str">
        <f>小4【S4】!$K$4</f>
        <v>国　語</v>
      </c>
      <c r="L155" s="146" t="str">
        <f>小4【S4】!$L$4</f>
        <v>漢字の広場④</v>
      </c>
      <c r="M155" s="146" t="str">
        <f>小4【S4】!$M$4</f>
        <v>現</v>
      </c>
      <c r="N155" s="145" t="str">
        <f>小4【S4】!$N$4</f>
        <v>国　語</v>
      </c>
      <c r="O155" s="146" t="str">
        <f>小4【S4】!$O$4</f>
        <v>文と文をつなぐ言葉</v>
      </c>
      <c r="P155" s="146" t="str">
        <f>小4【S4】!$P$4</f>
        <v>現</v>
      </c>
      <c r="Q155" s="145" t="str">
        <f>小4【S4】!$B$9</f>
        <v>国　語</v>
      </c>
      <c r="R155" s="146" t="str">
        <f>小4【S4】!$C$9</f>
        <v>文と文をつなぐ言葉</v>
      </c>
      <c r="S155" s="146" t="str">
        <f>小4【S4】!$D$9</f>
        <v>現</v>
      </c>
      <c r="T155" s="9"/>
    </row>
    <row r="156" spans="1:20" ht="21" customHeight="1" x14ac:dyDescent="0.15">
      <c r="A156" s="147">
        <f>小4【S4】!$A$5</f>
        <v>2</v>
      </c>
      <c r="B156" s="148" t="str">
        <f>小4【S4】!$B$5</f>
        <v>国　語</v>
      </c>
      <c r="C156" s="149" t="str">
        <f>小4【S4】!$C$5</f>
        <v>短歌・俳句に親しもう</v>
      </c>
      <c r="D156" s="149" t="str">
        <f>小4【S4】!$D$5</f>
        <v>現</v>
      </c>
      <c r="E156" s="148" t="str">
        <f>小4【S4】!$E$5</f>
        <v>算　数</v>
      </c>
      <c r="F156" s="149" t="str">
        <f>小4【S4】!$F$5</f>
        <v>小数のかけ算</v>
      </c>
      <c r="G156" s="149" t="str">
        <f>小4【S4】!$G$5</f>
        <v>現</v>
      </c>
      <c r="H156" s="148" t="str">
        <f>小4【S4】!$H$5</f>
        <v>算　数</v>
      </c>
      <c r="I156" s="149" t="str">
        <f>小4【S4】!$I$5</f>
        <v>小数のわり算</v>
      </c>
      <c r="J156" s="149" t="str">
        <f>小4【S4】!$J$5</f>
        <v>現</v>
      </c>
      <c r="K156" s="148" t="str">
        <f>小4【S4】!$K$5</f>
        <v>算　数</v>
      </c>
      <c r="L156" s="149" t="str">
        <f>小4【S4】!$L$5</f>
        <v>小数のわり算</v>
      </c>
      <c r="M156" s="149" t="str">
        <f>小4【S4】!$M$5</f>
        <v>現</v>
      </c>
      <c r="N156" s="148" t="str">
        <f>小4【S4】!$N$5</f>
        <v>算　数</v>
      </c>
      <c r="O156" s="149" t="str">
        <f>小4【S4】!$O$5</f>
        <v>小数のわり算</v>
      </c>
      <c r="P156" s="149" t="str">
        <f>小4【S4】!$P$5</f>
        <v>現</v>
      </c>
      <c r="Q156" s="148" t="str">
        <f>小4【S4】!$B$10</f>
        <v>図　工</v>
      </c>
      <c r="R156" s="149" t="str">
        <f>小4【S4】!$C$10</f>
        <v>学習用具・教科用語</v>
      </c>
      <c r="S156" s="149" t="str">
        <f>小4【S4】!$D$10</f>
        <v>現</v>
      </c>
      <c r="T156" s="9"/>
    </row>
    <row r="157" spans="1:20" ht="21" customHeight="1" x14ac:dyDescent="0.15">
      <c r="A157" s="147">
        <f>小4【S4】!$A$6</f>
        <v>3</v>
      </c>
      <c r="B157" s="148" t="str">
        <f>小4【S4】!$B$6</f>
        <v>算　数</v>
      </c>
      <c r="C157" s="149" t="str">
        <f>小4【S4】!$C$6</f>
        <v>小数のかけ算</v>
      </c>
      <c r="D157" s="149" t="str">
        <f>小4【S4】!$D$6</f>
        <v>現</v>
      </c>
      <c r="E157" s="148" t="str">
        <f>小4【S4】!$E$6</f>
        <v>音　楽</v>
      </c>
      <c r="F157" s="149" t="str">
        <f>小4【S4】!$F$6</f>
        <v>学習用具・教科用語</v>
      </c>
      <c r="G157" s="149" t="str">
        <f>小4【S4】!$G$6</f>
        <v>現</v>
      </c>
      <c r="H157" s="148" t="str">
        <f>小4【S4】!$H$6</f>
        <v>理　科</v>
      </c>
      <c r="I157" s="149" t="str">
        <f>小4【S4】!$I$6</f>
        <v>もののあたたまり方</v>
      </c>
      <c r="J157" s="149" t="str">
        <f>小4【S4】!$J$6</f>
        <v>現</v>
      </c>
      <c r="K157" s="148" t="str">
        <f>小4【S4】!$K$6</f>
        <v>理　科</v>
      </c>
      <c r="L157" s="149" t="str">
        <f>小4【S4】!$L$6</f>
        <v>もののあたたまり方</v>
      </c>
      <c r="M157" s="149" t="str">
        <f>小4【S4】!$M$6</f>
        <v>現</v>
      </c>
      <c r="N157" s="148" t="str">
        <f>小4【S4】!$N$6</f>
        <v>社　会</v>
      </c>
      <c r="O157" s="149" t="str">
        <f>小4【S4】!$O$6</f>
        <v>わたしたちの県</v>
      </c>
      <c r="P157" s="149" t="str">
        <f>小4【S4】!$P$6</f>
        <v>現</v>
      </c>
      <c r="Q157" s="148" t="str">
        <f>小4【S4】!$B$11</f>
        <v>社　会</v>
      </c>
      <c r="R157" s="149" t="str">
        <f>小4【S4】!$C$11</f>
        <v>わたしたちの県</v>
      </c>
      <c r="S157" s="149" t="str">
        <f>小4【S4】!$D$11</f>
        <v>現</v>
      </c>
      <c r="T157" s="9"/>
    </row>
    <row r="158" spans="1:20" ht="21" customHeight="1" x14ac:dyDescent="0.15">
      <c r="A158" s="147">
        <f>小4【S4】!$A$7</f>
        <v>4</v>
      </c>
      <c r="B158" s="148" t="str">
        <f>小4【S4】!$B$7</f>
        <v>日本語</v>
      </c>
      <c r="C158" s="149" t="str">
        <f>小4【S4】!$C$7</f>
        <v>日本語能力試験</v>
      </c>
      <c r="D158" s="149" t="str">
        <f>小4【S4】!$D$7</f>
        <v>ス</v>
      </c>
      <c r="E158" s="148" t="str">
        <f>小4【S4】!$E$7</f>
        <v>社　会</v>
      </c>
      <c r="F158" s="149" t="str">
        <f>小4【S4】!$F$7</f>
        <v>学習用具・教科用語</v>
      </c>
      <c r="G158" s="149" t="str">
        <f>小4【S4】!$G$7</f>
        <v>ス</v>
      </c>
      <c r="H158" s="148" t="str">
        <f>小4【S4】!$H$7</f>
        <v>算　数</v>
      </c>
      <c r="I158" s="149" t="str">
        <f>小4【S4】!$I$7</f>
        <v>小数（小3）</v>
      </c>
      <c r="J158" s="149" t="str">
        <f>小4【S4】!$J$7</f>
        <v>ス</v>
      </c>
      <c r="K158" s="148" t="str">
        <f>小4【S4】!$K$7</f>
        <v>日本語</v>
      </c>
      <c r="L158" s="149" t="str">
        <f>小4【S4】!$L$7</f>
        <v>日本の文化</v>
      </c>
      <c r="M158" s="149" t="str">
        <f>小4【S4】!$M$7</f>
        <v>ス</v>
      </c>
      <c r="N158" s="148" t="str">
        <f>小4【S4】!$N$7</f>
        <v>体　育</v>
      </c>
      <c r="O158" s="149" t="str">
        <f>小4【S4】!$O$7</f>
        <v>学習用具・教科用語</v>
      </c>
      <c r="P158" s="149" t="str">
        <f>小4【S4】!$P$7</f>
        <v>ス</v>
      </c>
      <c r="Q158" s="148" t="str">
        <f>小4【S4】!$B$12</f>
        <v>理　科</v>
      </c>
      <c r="R158" s="149" t="str">
        <f>小4【S4】!$C$12</f>
        <v>学習用具・教科用語</v>
      </c>
      <c r="S158" s="149" t="str">
        <f>小4【S4】!$D$12</f>
        <v>ス</v>
      </c>
      <c r="T158" s="9"/>
    </row>
    <row r="159" spans="1:20" ht="21" customHeight="1" x14ac:dyDescent="0.15">
      <c r="A159" s="154"/>
      <c r="B159" s="153"/>
      <c r="C159" s="154"/>
      <c r="D159" s="154"/>
      <c r="E159" s="153"/>
      <c r="F159" s="154"/>
      <c r="G159" s="154"/>
      <c r="H159" s="153"/>
      <c r="I159" s="157"/>
      <c r="J159" s="157"/>
      <c r="K159" s="153"/>
      <c r="L159" s="154"/>
      <c r="M159" s="154"/>
      <c r="N159" s="153"/>
      <c r="O159" s="154"/>
      <c r="P159" s="154"/>
      <c r="Q159" s="153"/>
      <c r="R159" s="154"/>
      <c r="S159" s="154"/>
    </row>
    <row r="160" spans="1:20" ht="21" customHeight="1" x14ac:dyDescent="0.15">
      <c r="A160" s="139"/>
      <c r="B160" s="140"/>
      <c r="C160" s="139"/>
      <c r="D160" s="139"/>
      <c r="E160" s="140"/>
      <c r="F160" s="139"/>
      <c r="G160" s="139"/>
      <c r="H160" s="140"/>
      <c r="I160" s="158"/>
      <c r="J160" s="158"/>
      <c r="K160" s="140"/>
      <c r="L160" s="139"/>
      <c r="M160" s="139"/>
      <c r="N160" s="140"/>
      <c r="O160" s="139"/>
      <c r="P160" s="139"/>
      <c r="Q160" s="140"/>
      <c r="R160" s="139"/>
      <c r="S160" s="139"/>
    </row>
    <row r="161" spans="1:20" ht="21" customHeight="1" x14ac:dyDescent="0.15">
      <c r="A161" s="139"/>
      <c r="B161" s="141"/>
      <c r="C161" s="185" t="str">
        <f>小5【S2】!$C$2</f>
        <v>小5　12月　【S2】　指導ユニット　モジュール（現学年・ステップ）配当計画</v>
      </c>
      <c r="D161" s="186"/>
      <c r="E161" s="186"/>
      <c r="F161" s="186"/>
      <c r="G161" s="187"/>
      <c r="H161" s="187"/>
      <c r="I161" s="187"/>
      <c r="J161" s="187"/>
      <c r="K161" s="187"/>
      <c r="L161" s="187"/>
      <c r="M161" s="188"/>
      <c r="N161" s="187"/>
      <c r="O161" s="139"/>
      <c r="P161" s="142"/>
      <c r="Q161" s="140"/>
      <c r="R161" s="139"/>
      <c r="S161" s="139"/>
    </row>
    <row r="162" spans="1:20" ht="21" customHeight="1" x14ac:dyDescent="0.15">
      <c r="A162" s="143" t="s">
        <v>191</v>
      </c>
      <c r="B162" s="189" t="s">
        <v>192</v>
      </c>
      <c r="C162" s="190"/>
      <c r="D162" s="191"/>
      <c r="E162" s="189" t="s">
        <v>193</v>
      </c>
      <c r="F162" s="190"/>
      <c r="G162" s="191"/>
      <c r="H162" s="189" t="s">
        <v>194</v>
      </c>
      <c r="I162" s="190"/>
      <c r="J162" s="191"/>
      <c r="K162" s="189" t="s">
        <v>195</v>
      </c>
      <c r="L162" s="190"/>
      <c r="M162" s="191"/>
      <c r="N162" s="189" t="s">
        <v>196</v>
      </c>
      <c r="O162" s="190"/>
      <c r="P162" s="191"/>
      <c r="Q162" s="189" t="s">
        <v>197</v>
      </c>
      <c r="R162" s="190"/>
      <c r="S162" s="191"/>
      <c r="T162" s="9"/>
    </row>
    <row r="163" spans="1:20" ht="21" customHeight="1" x14ac:dyDescent="0.15">
      <c r="A163" s="144">
        <f>小5【S2】!$A$4</f>
        <v>1</v>
      </c>
      <c r="B163" s="145" t="str">
        <f>小5【S2】!$B$4</f>
        <v>国　語</v>
      </c>
      <c r="C163" s="146" t="str">
        <f>小5【S2】!$C$4</f>
        <v>同じ読み方の漢字</v>
      </c>
      <c r="D163" s="146" t="str">
        <f>小5【S2】!$D$4</f>
        <v>現</v>
      </c>
      <c r="E163" s="145" t="str">
        <f>小5【S2】!$E$4</f>
        <v>国　語</v>
      </c>
      <c r="F163" s="146" t="str">
        <f>小5【S2】!$F$4</f>
        <v>同じ読み方の漢字</v>
      </c>
      <c r="G163" s="146" t="str">
        <f>小5【S2】!$G$4</f>
        <v>現</v>
      </c>
      <c r="H163" s="145" t="str">
        <f>小5【S2】!$H$4</f>
        <v>国　語</v>
      </c>
      <c r="I163" s="146" t="str">
        <f>小5【S2】!$I$4</f>
        <v>百年後のふるさとを守る</v>
      </c>
      <c r="J163" s="146" t="str">
        <f>小5【S2】!$J$4</f>
        <v>現</v>
      </c>
      <c r="K163" s="145" t="str">
        <f>小5【S2】!$K$4</f>
        <v>国　語</v>
      </c>
      <c r="L163" s="146" t="str">
        <f>小5【S2】!$L$4</f>
        <v>百年後のふるさとを守る</v>
      </c>
      <c r="M163" s="146" t="str">
        <f>小5【S2】!$M$4</f>
        <v>現</v>
      </c>
      <c r="N163" s="145" t="str">
        <f>小5【S2】!$N$4</f>
        <v>算　数</v>
      </c>
      <c r="O163" s="146" t="str">
        <f>小5【S2】!$O$4</f>
        <v>分数と小数の関係</v>
      </c>
      <c r="P163" s="146" t="str">
        <f>小5【S2】!$P$4</f>
        <v>現</v>
      </c>
      <c r="Q163" s="145" t="str">
        <f>小5【S2】!$B$9</f>
        <v>算　数</v>
      </c>
      <c r="R163" s="146" t="str">
        <f>小5【S2】!$C$9</f>
        <v>見積もりを使って</v>
      </c>
      <c r="S163" s="146" t="str">
        <f>小5【S2】!$D$9</f>
        <v>現</v>
      </c>
      <c r="T163" s="9"/>
    </row>
    <row r="164" spans="1:20" ht="21" customHeight="1" x14ac:dyDescent="0.15">
      <c r="A164" s="147">
        <f>小5【S2】!$A$5</f>
        <v>2</v>
      </c>
      <c r="B164" s="148" t="str">
        <f>小5【S2】!$B$5</f>
        <v>算　数</v>
      </c>
      <c r="C164" s="149" t="str">
        <f>小5【S2】!$C$5</f>
        <v>分数のかけ算とわり算</v>
      </c>
      <c r="D164" s="149" t="str">
        <f>小5【S2】!$D$5</f>
        <v>現</v>
      </c>
      <c r="E164" s="148" t="str">
        <f>小5【S2】!$E$5</f>
        <v>社　会</v>
      </c>
      <c r="F164" s="149" t="str">
        <f>小5【S2】!$F$5</f>
        <v>情報化社会とわたしたちの生活</v>
      </c>
      <c r="G164" s="149" t="str">
        <f>小5【S2】!$G$5</f>
        <v>現</v>
      </c>
      <c r="H164" s="148" t="str">
        <f>小5【S2】!$H$5</f>
        <v>算　数</v>
      </c>
      <c r="I164" s="149" t="str">
        <f>小5【S2】!$I$5</f>
        <v>分数のかけ算とわり算</v>
      </c>
      <c r="J164" s="149" t="str">
        <f>小5【S2】!$J$5</f>
        <v>現</v>
      </c>
      <c r="K164" s="148" t="str">
        <f>小5【S2】!$K$5</f>
        <v>社　会</v>
      </c>
      <c r="L164" s="149" t="str">
        <f>小5【S2】!$L$5</f>
        <v>学習用具・教科用語</v>
      </c>
      <c r="M164" s="149" t="str">
        <f>小5【S2】!$M$5</f>
        <v>ス</v>
      </c>
      <c r="N164" s="148" t="str">
        <f>小5【S2】!$N$5</f>
        <v>理　科</v>
      </c>
      <c r="O164" s="149" t="str">
        <f>小5【S2】!$O$5</f>
        <v>電磁石の性質</v>
      </c>
      <c r="P164" s="149" t="str">
        <f>小5【S2】!$P$5</f>
        <v>現</v>
      </c>
      <c r="Q164" s="148" t="str">
        <f>小5【S2】!$B$10</f>
        <v>日本語</v>
      </c>
      <c r="R164" s="149" t="str">
        <f>小5【S2】!$C$10</f>
        <v>家庭生活</v>
      </c>
      <c r="S164" s="149" t="str">
        <f>小5【S2】!$D$10</f>
        <v>ス</v>
      </c>
      <c r="T164" s="9"/>
    </row>
    <row r="165" spans="1:20" ht="21" customHeight="1" x14ac:dyDescent="0.15">
      <c r="A165" s="147">
        <f>小5【S2】!$A$6</f>
        <v>3</v>
      </c>
      <c r="B165" s="148" t="str">
        <f>小5【S2】!$B$6</f>
        <v>社　会</v>
      </c>
      <c r="C165" s="149" t="str">
        <f>小5【S2】!$C$6</f>
        <v>学習用具・教科用語</v>
      </c>
      <c r="D165" s="149" t="str">
        <f>小5【S2】!$D$6</f>
        <v>ス</v>
      </c>
      <c r="E165" s="148" t="str">
        <f>小5【S2】!$E$6</f>
        <v>国　語</v>
      </c>
      <c r="F165" s="149" t="str">
        <f>小5【S2】!$F$6</f>
        <v>まちがえやすい漢字（小4）</v>
      </c>
      <c r="G165" s="149" t="str">
        <f>小5【S2】!$G$6</f>
        <v>ス</v>
      </c>
      <c r="H165" s="148" t="str">
        <f>小5【S2】!$H$6</f>
        <v>国　語</v>
      </c>
      <c r="I165" s="149" t="str">
        <f>小5【S2】!$I$6</f>
        <v>まちがえやすい漢字（小4）</v>
      </c>
      <c r="J165" s="149" t="str">
        <f>小5【S2】!$J$6</f>
        <v>ス</v>
      </c>
      <c r="K165" s="148" t="str">
        <f>小5【S2】!$K$6</f>
        <v>日本語</v>
      </c>
      <c r="L165" s="149" t="str">
        <f>小5【S2】!$L$6</f>
        <v>語彙</v>
      </c>
      <c r="M165" s="149" t="str">
        <f>小5【S2】!$M$6</f>
        <v>ス</v>
      </c>
      <c r="N165" s="148" t="str">
        <f>小5【S2】!$N$6</f>
        <v>日本語</v>
      </c>
      <c r="O165" s="149" t="str">
        <f>小5【S2】!$O$6</f>
        <v>学校生活</v>
      </c>
      <c r="P165" s="149" t="str">
        <f>小5【S2】!$P$6</f>
        <v>ス</v>
      </c>
      <c r="Q165" s="148" t="str">
        <f>小5【S2】!$B$11</f>
        <v>日本語</v>
      </c>
      <c r="R165" s="149" t="str">
        <f>小5【S2】!$C$11</f>
        <v>日本語能力試験</v>
      </c>
      <c r="S165" s="149" t="str">
        <f>小5【S2】!$D$11</f>
        <v>ス</v>
      </c>
      <c r="T165" s="9"/>
    </row>
    <row r="166" spans="1:20" ht="21" customHeight="1" x14ac:dyDescent="0.15">
      <c r="A166" s="147">
        <f>小5【S2】!$A$7</f>
        <v>4</v>
      </c>
      <c r="B166" s="148" t="str">
        <f>小5【S2】!$B$7</f>
        <v>算　数</v>
      </c>
      <c r="C166" s="149" t="str">
        <f>小5【S2】!$C$7</f>
        <v>分数（小4）</v>
      </c>
      <c r="D166" s="149" t="str">
        <f>小5【S2】!$D$7</f>
        <v>ス</v>
      </c>
      <c r="E166" s="148" t="str">
        <f>小5【S2】!$E$7</f>
        <v>算　数</v>
      </c>
      <c r="F166" s="149" t="str">
        <f>小5【S2】!$F$7</f>
        <v>分数（小4）</v>
      </c>
      <c r="G166" s="149" t="str">
        <f>小5【S2】!$G$7</f>
        <v>ス</v>
      </c>
      <c r="H166" s="148" t="str">
        <f>小5【S2】!$H$7</f>
        <v>日本語</v>
      </c>
      <c r="I166" s="149" t="str">
        <f>小5【S2】!$I$7</f>
        <v>語彙</v>
      </c>
      <c r="J166" s="149" t="str">
        <f>小5【S2】!$J$7</f>
        <v>ス</v>
      </c>
      <c r="K166" s="148" t="str">
        <f>小5【S2】!$K$7</f>
        <v>算　数</v>
      </c>
      <c r="L166" s="149" t="str">
        <f>小5【S2】!$L$7</f>
        <v>小数（小4）</v>
      </c>
      <c r="M166" s="149" t="str">
        <f>小5【S2】!$M$7</f>
        <v>ス</v>
      </c>
      <c r="N166" s="148" t="str">
        <f>小5【S2】!$N$7</f>
        <v>日本語</v>
      </c>
      <c r="O166" s="149" t="str">
        <f>小5【S2】!$O$7</f>
        <v>家庭生活</v>
      </c>
      <c r="P166" s="149" t="str">
        <f>小5【S2】!$P$7</f>
        <v>ス</v>
      </c>
      <c r="Q166" s="148" t="str">
        <f>小5【S2】!$B$12</f>
        <v>音　楽</v>
      </c>
      <c r="R166" s="149" t="str">
        <f>小5【S2】!$C$12</f>
        <v>学習用具・教科用語</v>
      </c>
      <c r="S166" s="149" t="str">
        <f>小5【S2】!$D$12</f>
        <v>ス</v>
      </c>
      <c r="T166" s="9"/>
    </row>
    <row r="167" spans="1:20" ht="21" customHeight="1" x14ac:dyDescent="0.15">
      <c r="A167" s="150"/>
      <c r="B167" s="189" t="s">
        <v>198</v>
      </c>
      <c r="C167" s="190"/>
      <c r="D167" s="191"/>
      <c r="E167" s="189" t="s">
        <v>199</v>
      </c>
      <c r="F167" s="190"/>
      <c r="G167" s="191"/>
      <c r="H167" s="189" t="s">
        <v>200</v>
      </c>
      <c r="I167" s="190"/>
      <c r="J167" s="191"/>
      <c r="K167" s="189" t="s">
        <v>201</v>
      </c>
      <c r="L167" s="190"/>
      <c r="M167" s="191"/>
      <c r="N167" s="189" t="s">
        <v>202</v>
      </c>
      <c r="O167" s="190"/>
      <c r="P167" s="191"/>
      <c r="Q167" s="189" t="s">
        <v>203</v>
      </c>
      <c r="R167" s="190"/>
      <c r="S167" s="191"/>
      <c r="T167" s="9"/>
    </row>
    <row r="168" spans="1:20" ht="21" customHeight="1" x14ac:dyDescent="0.15">
      <c r="A168" s="144">
        <f>小5【S2】!$A$4</f>
        <v>1</v>
      </c>
      <c r="B168" s="145" t="str">
        <f>小5【S2】!$E$9</f>
        <v>国　語</v>
      </c>
      <c r="C168" s="146" t="str">
        <f>小5【S2】!$F$9</f>
        <v>百年後のふるさとを守る</v>
      </c>
      <c r="D168" s="146" t="str">
        <f>小5【S2】!$G$9</f>
        <v>現</v>
      </c>
      <c r="E168" s="145" t="str">
        <f>小5【S2】!$H$9</f>
        <v>国　語</v>
      </c>
      <c r="F168" s="146" t="str">
        <f>小5【S2】!$I$9</f>
        <v>古典の世界（二）</v>
      </c>
      <c r="G168" s="146" t="str">
        <f>小5【S2】!$J$9</f>
        <v>現</v>
      </c>
      <c r="H168" s="145" t="str">
        <f>小5【S2】!$K$9</f>
        <v>国　語</v>
      </c>
      <c r="I168" s="146" t="str">
        <f>小5【S2】!$L$9</f>
        <v>古典の世界（二）</v>
      </c>
      <c r="J168" s="146" t="str">
        <f>小5【S2】!$M$9</f>
        <v>現</v>
      </c>
      <c r="K168" s="145" t="str">
        <f>小5【S2】!$N$9</f>
        <v>国　語</v>
      </c>
      <c r="L168" s="146" t="str">
        <f>小5【S2】!$O$9</f>
        <v>分かりやすく伝える</v>
      </c>
      <c r="M168" s="146" t="str">
        <f>小5【S2】!$P$9</f>
        <v>現</v>
      </c>
      <c r="N168" s="145" t="str">
        <f>小5【S2】!$B$14</f>
        <v>国　語</v>
      </c>
      <c r="O168" s="146" t="str">
        <f>小5【S2】!$C$14</f>
        <v>分かりやすく伝える</v>
      </c>
      <c r="P168" s="146" t="str">
        <f>小5【S2】!$D$14</f>
        <v>現</v>
      </c>
      <c r="Q168" s="145" t="str">
        <f>小5【S2】!$E$14</f>
        <v>国　語</v>
      </c>
      <c r="R168" s="146" t="str">
        <f>小5【S2】!$F$14</f>
        <v>分かりやすく伝える</v>
      </c>
      <c r="S168" s="146" t="str">
        <f>小5【S2】!$G$14</f>
        <v>現</v>
      </c>
      <c r="T168" s="9"/>
    </row>
    <row r="169" spans="1:20" ht="21" customHeight="1" x14ac:dyDescent="0.15">
      <c r="A169" s="147">
        <f>小5【S2】!$A$5</f>
        <v>2</v>
      </c>
      <c r="B169" s="148" t="str">
        <f>小5【S2】!$E$10</f>
        <v>国　語</v>
      </c>
      <c r="C169" s="149" t="str">
        <f>小5【S2】!$F$10</f>
        <v>古典の世界（二）</v>
      </c>
      <c r="D169" s="149" t="str">
        <f>小5【S2】!$G$10</f>
        <v>現</v>
      </c>
      <c r="E169" s="148" t="str">
        <f>小5【S2】!$H$10</f>
        <v>算　数</v>
      </c>
      <c r="F169" s="149" t="str">
        <f>小5【S2】!$I$10</f>
        <v>順々に調べて</v>
      </c>
      <c r="G169" s="149" t="str">
        <f>小5【S2】!$J$10</f>
        <v>現</v>
      </c>
      <c r="H169" s="148" t="str">
        <f>小5【S2】!$K$10</f>
        <v>日本語</v>
      </c>
      <c r="I169" s="149" t="str">
        <f>小5【S2】!$L$10</f>
        <v>日本の文化</v>
      </c>
      <c r="J169" s="149" t="str">
        <f>小5【S2】!$M$10</f>
        <v>ス</v>
      </c>
      <c r="K169" s="148" t="str">
        <f>小5【S2】!$N$10</f>
        <v>家庭科</v>
      </c>
      <c r="L169" s="149" t="str">
        <f>小5【S2】!$O$10</f>
        <v>学習用具・教科用語</v>
      </c>
      <c r="M169" s="149" t="str">
        <f>小5【S2】!$P$10</f>
        <v>現</v>
      </c>
      <c r="N169" s="148" t="str">
        <f>小5【S2】!$B$15</f>
        <v>日本語</v>
      </c>
      <c r="O169" s="149" t="str">
        <f>小5【S2】!$C$15</f>
        <v>家庭生活</v>
      </c>
      <c r="P169" s="149" t="str">
        <f>小5【S2】!$D$15</f>
        <v>ス</v>
      </c>
      <c r="Q169" s="148" t="str">
        <f>小5【S2】!$E$15</f>
        <v>算　数</v>
      </c>
      <c r="R169" s="149" t="str">
        <f>小5【S2】!$F$15</f>
        <v>がい数とその計算（小4）</v>
      </c>
      <c r="S169" s="149" t="str">
        <f>小5【S2】!$G$15</f>
        <v>ス</v>
      </c>
      <c r="T169" s="9"/>
    </row>
    <row r="170" spans="1:20" ht="21" customHeight="1" x14ac:dyDescent="0.15">
      <c r="A170" s="147">
        <f>小5【S2】!$A$6</f>
        <v>3</v>
      </c>
      <c r="B170" s="148" t="str">
        <f>小5【S2】!$E$11</f>
        <v>社　会</v>
      </c>
      <c r="C170" s="149" t="str">
        <f>小5【S2】!$F$11</f>
        <v>学習用具・教科用語</v>
      </c>
      <c r="D170" s="149" t="str">
        <f>小5【S2】!$G$11</f>
        <v>ス</v>
      </c>
      <c r="E170" s="148" t="str">
        <f>小5【S2】!$H$11</f>
        <v>日本語</v>
      </c>
      <c r="F170" s="149" t="str">
        <f>小5【S2】!$I$11</f>
        <v>語彙</v>
      </c>
      <c r="G170" s="149" t="str">
        <f>小5【S2】!$J$11</f>
        <v>ス</v>
      </c>
      <c r="H170" s="148" t="str">
        <f>小5【S2】!$K$11</f>
        <v>理　科</v>
      </c>
      <c r="I170" s="149" t="str">
        <f>小5【S2】!$L$11</f>
        <v>学習用具・教科用語</v>
      </c>
      <c r="J170" s="149" t="str">
        <f>小5【S2】!$M$11</f>
        <v>ス</v>
      </c>
      <c r="K170" s="148" t="str">
        <f>小5【S2】!$N$11</f>
        <v>日本語</v>
      </c>
      <c r="L170" s="149" t="str">
        <f>小5【S2】!$O$11</f>
        <v>学校生活</v>
      </c>
      <c r="M170" s="149" t="str">
        <f>小5【S2】!$P$11</f>
        <v>ス</v>
      </c>
      <c r="N170" s="148" t="str">
        <f>小5【S2】!$B$16</f>
        <v>日本語</v>
      </c>
      <c r="O170" s="149" t="str">
        <f>小5【S2】!$C$16</f>
        <v>語彙</v>
      </c>
      <c r="P170" s="149" t="str">
        <f>小5【S2】!$D$16</f>
        <v>ス</v>
      </c>
      <c r="Q170" s="148" t="str">
        <f>小5【S2】!$E$16</f>
        <v>日本語</v>
      </c>
      <c r="R170" s="149" t="str">
        <f>小5【S2】!$F$16</f>
        <v>学校生活</v>
      </c>
      <c r="S170" s="149" t="str">
        <f>小5【S2】!$G$16</f>
        <v>ス</v>
      </c>
      <c r="T170" s="9"/>
    </row>
    <row r="171" spans="1:20" ht="21" customHeight="1" x14ac:dyDescent="0.15">
      <c r="A171" s="147">
        <f>小5【S2】!$A$7</f>
        <v>4</v>
      </c>
      <c r="B171" s="148" t="str">
        <f>小5【S2】!$E$12</f>
        <v>算　数</v>
      </c>
      <c r="C171" s="149" t="str">
        <f>小5【S2】!$F$12</f>
        <v>小数（小4）</v>
      </c>
      <c r="D171" s="149" t="str">
        <f>小5【S2】!$G$12</f>
        <v>ス</v>
      </c>
      <c r="E171" s="148" t="str">
        <f>小5【S2】!$H$12</f>
        <v>算　数</v>
      </c>
      <c r="F171" s="149" t="str">
        <f>小5【S2】!$I$12</f>
        <v>がい数とその計算（小4）</v>
      </c>
      <c r="G171" s="149" t="str">
        <f>小5【S2】!$J$12</f>
        <v>ス</v>
      </c>
      <c r="H171" s="148" t="str">
        <f>小5【S2】!$K$12</f>
        <v>算　数</v>
      </c>
      <c r="I171" s="149" t="str">
        <f>小5【S2】!$L$12</f>
        <v>がい数とその計算（小4）</v>
      </c>
      <c r="J171" s="149" t="str">
        <f>小5【S2】!$M$12</f>
        <v>ス</v>
      </c>
      <c r="K171" s="148" t="str">
        <f>小5【S2】!$N$12</f>
        <v>体　育</v>
      </c>
      <c r="L171" s="149" t="str">
        <f>小5【S2】!$O$12</f>
        <v>学習用具・教科用語</v>
      </c>
      <c r="M171" s="149" t="str">
        <f>小5【S2】!$P$12</f>
        <v>ス</v>
      </c>
      <c r="N171" s="148" t="str">
        <f>小5【S2】!$B$17</f>
        <v>理　科</v>
      </c>
      <c r="O171" s="149" t="str">
        <f>小5【S2】!$C$17</f>
        <v>学習用具・教科用語</v>
      </c>
      <c r="P171" s="149" t="str">
        <f>小5【S2】!$D$17</f>
        <v>ス</v>
      </c>
      <c r="Q171" s="148" t="str">
        <f>小5【S2】!$E$17</f>
        <v>日本語</v>
      </c>
      <c r="R171" s="149" t="str">
        <f>小5【S2】!$F$17</f>
        <v>日本語能力試験</v>
      </c>
      <c r="S171" s="149" t="str">
        <f>小5【S2】!$G$17</f>
        <v>ス</v>
      </c>
      <c r="T171" s="9"/>
    </row>
    <row r="172" spans="1:20" ht="21" customHeight="1" x14ac:dyDescent="0.15">
      <c r="A172" s="150"/>
      <c r="B172" s="150"/>
      <c r="C172" s="151"/>
      <c r="D172" s="151"/>
      <c r="E172" s="150"/>
      <c r="F172" s="151"/>
      <c r="G172" s="151"/>
      <c r="H172" s="150"/>
      <c r="I172" s="152"/>
      <c r="J172" s="152"/>
      <c r="K172" s="150"/>
      <c r="L172" s="151"/>
      <c r="M172" s="151"/>
      <c r="N172" s="150"/>
      <c r="O172" s="151"/>
      <c r="P172" s="151"/>
      <c r="Q172" s="153"/>
      <c r="R172" s="154"/>
      <c r="S172" s="154"/>
    </row>
    <row r="173" spans="1:20" ht="21" customHeight="1" x14ac:dyDescent="0.15">
      <c r="A173" s="139"/>
      <c r="B173" s="140"/>
      <c r="C173" s="185" t="str">
        <f>小5【S3】!$C$2</f>
        <v>小5　12月　【S3】　指導ユニット　モジュール（現学年・ステップ）配当計画</v>
      </c>
      <c r="D173" s="186"/>
      <c r="E173" s="186"/>
      <c r="F173" s="186"/>
      <c r="G173" s="187"/>
      <c r="H173" s="187"/>
      <c r="I173" s="187"/>
      <c r="J173" s="187"/>
      <c r="K173" s="187"/>
      <c r="L173" s="187"/>
      <c r="M173" s="188"/>
      <c r="N173" s="187"/>
      <c r="O173" s="139"/>
      <c r="P173" s="139"/>
      <c r="Q173" s="140"/>
      <c r="R173" s="139"/>
      <c r="S173" s="139"/>
    </row>
    <row r="174" spans="1:20" ht="21" customHeight="1" x14ac:dyDescent="0.15">
      <c r="A174" s="143" t="s">
        <v>191</v>
      </c>
      <c r="B174" s="189" t="s">
        <v>192</v>
      </c>
      <c r="C174" s="190"/>
      <c r="D174" s="191"/>
      <c r="E174" s="189" t="s">
        <v>193</v>
      </c>
      <c r="F174" s="190"/>
      <c r="G174" s="191"/>
      <c r="H174" s="189" t="s">
        <v>194</v>
      </c>
      <c r="I174" s="190"/>
      <c r="J174" s="191"/>
      <c r="K174" s="189" t="s">
        <v>195</v>
      </c>
      <c r="L174" s="190"/>
      <c r="M174" s="191"/>
      <c r="N174" s="189" t="s">
        <v>196</v>
      </c>
      <c r="O174" s="190"/>
      <c r="P174" s="191"/>
      <c r="Q174" s="189" t="s">
        <v>197</v>
      </c>
      <c r="R174" s="190"/>
      <c r="S174" s="191"/>
      <c r="T174" s="9"/>
    </row>
    <row r="175" spans="1:20" ht="21" customHeight="1" x14ac:dyDescent="0.15">
      <c r="A175" s="144">
        <f>小5【S3】!$A$4</f>
        <v>1</v>
      </c>
      <c r="B175" s="145" t="str">
        <f>小5【S3】!$B$4</f>
        <v>国　語</v>
      </c>
      <c r="C175" s="146" t="str">
        <f>小5【S3】!$C$4</f>
        <v>同じ読み方の漢字</v>
      </c>
      <c r="D175" s="146" t="str">
        <f>小5【S3】!$D$4</f>
        <v>現</v>
      </c>
      <c r="E175" s="145" t="str">
        <f>小5【S3】!$E$4</f>
        <v>国　語</v>
      </c>
      <c r="F175" s="146" t="str">
        <f>小5【S3】!$F$4</f>
        <v>同じ読み方の漢字</v>
      </c>
      <c r="G175" s="146" t="str">
        <f>小5【S3】!$G$4</f>
        <v>現</v>
      </c>
      <c r="H175" s="145" t="str">
        <f>小5【S3】!$H$4</f>
        <v>国　語</v>
      </c>
      <c r="I175" s="146" t="str">
        <f>小5【S3】!$I$4</f>
        <v>百年後のふるさとを守る</v>
      </c>
      <c r="J175" s="146" t="str">
        <f>小5【S3】!$J$4</f>
        <v>現</v>
      </c>
      <c r="K175" s="145" t="str">
        <f>小5【S3】!$K$4</f>
        <v>国　語</v>
      </c>
      <c r="L175" s="146" t="str">
        <f>小5【S3】!$L$4</f>
        <v>百年後のふるさとを守る</v>
      </c>
      <c r="M175" s="146" t="str">
        <f>小5【S3】!$M$4</f>
        <v>現</v>
      </c>
      <c r="N175" s="145" t="str">
        <f>小5【S3】!$N$4</f>
        <v>国　語</v>
      </c>
      <c r="O175" s="146" t="str">
        <f>小5【S3】!$O$4</f>
        <v>百年後のふるさとを守る</v>
      </c>
      <c r="P175" s="146" t="str">
        <f>小5【S3】!$P$4</f>
        <v>現</v>
      </c>
      <c r="Q175" s="145" t="str">
        <f>小5【S3】!$B$9</f>
        <v>国　語</v>
      </c>
      <c r="R175" s="146" t="str">
        <f>小5【S3】!$C$9</f>
        <v>古典の世界（二）</v>
      </c>
      <c r="S175" s="146" t="str">
        <f>小5【S3】!$D$9</f>
        <v>現</v>
      </c>
      <c r="T175" s="9"/>
    </row>
    <row r="176" spans="1:20" ht="21" customHeight="1" x14ac:dyDescent="0.15">
      <c r="A176" s="147">
        <f>小5【S3】!$A$5</f>
        <v>2</v>
      </c>
      <c r="B176" s="148" t="str">
        <f>小5【S3】!$B$5</f>
        <v>算　数</v>
      </c>
      <c r="C176" s="149" t="str">
        <f>小5【S3】!$C$5</f>
        <v>分数のかけ算とわり算</v>
      </c>
      <c r="D176" s="149" t="str">
        <f>小5【S3】!$D$5</f>
        <v>現</v>
      </c>
      <c r="E176" s="148" t="str">
        <f>小5【S3】!$E$5</f>
        <v>国　語</v>
      </c>
      <c r="F176" s="149" t="str">
        <f>小5【S3】!$F$5</f>
        <v>同じ読み方の漢字</v>
      </c>
      <c r="G176" s="149" t="str">
        <f>小5【S3】!$G$5</f>
        <v>現</v>
      </c>
      <c r="H176" s="148" t="str">
        <f>小5【S3】!$H$5</f>
        <v>算　数</v>
      </c>
      <c r="I176" s="149" t="str">
        <f>小5【S3】!$I$5</f>
        <v>分数と小数の関係</v>
      </c>
      <c r="J176" s="149" t="str">
        <f>小5【S3】!$J$5</f>
        <v>現</v>
      </c>
      <c r="K176" s="148" t="str">
        <f>小5【S3】!$K$5</f>
        <v>算　数</v>
      </c>
      <c r="L176" s="149" t="str">
        <f>小5【S3】!$L$5</f>
        <v>見積もりを使って</v>
      </c>
      <c r="M176" s="149" t="str">
        <f>小5【S3】!$M$5</f>
        <v>現</v>
      </c>
      <c r="N176" s="148" t="str">
        <f>小5【S3】!$N$5</f>
        <v>算　数</v>
      </c>
      <c r="O176" s="149" t="str">
        <f>小5【S3】!$O$5</f>
        <v>順々に調べて</v>
      </c>
      <c r="P176" s="149" t="str">
        <f>小5【S3】!$P$5</f>
        <v>現</v>
      </c>
      <c r="Q176" s="148" t="str">
        <f>小5【S3】!$B$10</f>
        <v>図　工</v>
      </c>
      <c r="R176" s="149" t="str">
        <f>小5【S3】!$C$10</f>
        <v>学習用具・教科用語</v>
      </c>
      <c r="S176" s="149" t="str">
        <f>小5【S3】!$D$10</f>
        <v>現</v>
      </c>
      <c r="T176" s="9"/>
    </row>
    <row r="177" spans="1:20" ht="21" customHeight="1" x14ac:dyDescent="0.15">
      <c r="A177" s="147">
        <f>小5【S3】!$A$6</f>
        <v>3</v>
      </c>
      <c r="B177" s="148" t="str">
        <f>小5【S3】!$B$6</f>
        <v>国　語</v>
      </c>
      <c r="C177" s="149" t="str">
        <f>小5【S3】!$C$6</f>
        <v>まちがえやすい漢字（小4）</v>
      </c>
      <c r="D177" s="149" t="str">
        <f>小5【S3】!$D$6</f>
        <v>ス</v>
      </c>
      <c r="E177" s="148" t="str">
        <f>小5【S3】!$E$6</f>
        <v>算　数</v>
      </c>
      <c r="F177" s="149" t="str">
        <f>小5【S3】!$F$6</f>
        <v>分数のかけ算とわり算</v>
      </c>
      <c r="G177" s="149" t="str">
        <f>小5【S3】!$G$6</f>
        <v>現</v>
      </c>
      <c r="H177" s="148" t="str">
        <f>小5【S3】!$H$6</f>
        <v>理　科</v>
      </c>
      <c r="I177" s="149" t="str">
        <f>小5【S3】!$I$6</f>
        <v>電磁石の性質</v>
      </c>
      <c r="J177" s="149" t="str">
        <f>小5【S3】!$J$6</f>
        <v>現</v>
      </c>
      <c r="K177" s="148" t="str">
        <f>小5【S3】!$K$6</f>
        <v>日本語</v>
      </c>
      <c r="L177" s="149" t="str">
        <f>小5【S3】!$L$6</f>
        <v>日本の文化</v>
      </c>
      <c r="M177" s="149" t="str">
        <f>小5【S3】!$M$6</f>
        <v>ス</v>
      </c>
      <c r="N177" s="148" t="str">
        <f>小5【S3】!$N$6</f>
        <v>社　会</v>
      </c>
      <c r="O177" s="149" t="str">
        <f>小5【S3】!$O$6</f>
        <v>情報化社会とわたしたちの生活</v>
      </c>
      <c r="P177" s="149" t="str">
        <f>小5【S3】!$P$6</f>
        <v>現</v>
      </c>
      <c r="Q177" s="148" t="str">
        <f>小5【S3】!$B$11</f>
        <v>日本語</v>
      </c>
      <c r="R177" s="149" t="str">
        <f>小5【S3】!$C$11</f>
        <v>学校生活</v>
      </c>
      <c r="S177" s="149" t="str">
        <f>小5【S3】!$D$11</f>
        <v>ス</v>
      </c>
      <c r="T177" s="9"/>
    </row>
    <row r="178" spans="1:20" ht="21" customHeight="1" x14ac:dyDescent="0.15">
      <c r="A178" s="147">
        <f>小5【S3】!$A$7</f>
        <v>4</v>
      </c>
      <c r="B178" s="148" t="str">
        <f>小5【S3】!$B$7</f>
        <v>社　会</v>
      </c>
      <c r="C178" s="149" t="str">
        <f>小5【S3】!$C$7</f>
        <v>学習用具・教科用語</v>
      </c>
      <c r="D178" s="149" t="str">
        <f>小5【S3】!$D$7</f>
        <v>ス</v>
      </c>
      <c r="E178" s="148" t="str">
        <f>小5【S3】!$E$7</f>
        <v>日本語</v>
      </c>
      <c r="F178" s="149" t="str">
        <f>小5【S3】!$F$7</f>
        <v>家庭生活</v>
      </c>
      <c r="G178" s="149" t="str">
        <f>小5【S3】!$G$7</f>
        <v>ス</v>
      </c>
      <c r="H178" s="148" t="str">
        <f>小5【S3】!$H$7</f>
        <v>算　数</v>
      </c>
      <c r="I178" s="149" t="str">
        <f>小5【S3】!$I$7</f>
        <v>分数（小4）</v>
      </c>
      <c r="J178" s="149" t="str">
        <f>小5【S3】!$J$7</f>
        <v>ス</v>
      </c>
      <c r="K178" s="148" t="str">
        <f>小5【S3】!$K$7</f>
        <v>算　数</v>
      </c>
      <c r="L178" s="149" t="str">
        <f>小5【S3】!$L$7</f>
        <v>小数（小4）</v>
      </c>
      <c r="M178" s="149" t="str">
        <f>小5【S3】!$M$7</f>
        <v>ス</v>
      </c>
      <c r="N178" s="148" t="str">
        <f>小5【S3】!$N$7</f>
        <v>算　数</v>
      </c>
      <c r="O178" s="149" t="str">
        <f>小5【S3】!$O$7</f>
        <v>がい数とその計算（小4）</v>
      </c>
      <c r="P178" s="149" t="str">
        <f>小5【S3】!$P$7</f>
        <v>ス</v>
      </c>
      <c r="Q178" s="148" t="str">
        <f>小5【S3】!$B$12</f>
        <v>理　科</v>
      </c>
      <c r="R178" s="149" t="str">
        <f>小5【S3】!$C$12</f>
        <v>学習用具・教科用語</v>
      </c>
      <c r="S178" s="149" t="str">
        <f>小5【S3】!$D$12</f>
        <v>ス</v>
      </c>
      <c r="T178" s="9"/>
    </row>
    <row r="179" spans="1:20" ht="21" customHeight="1" x14ac:dyDescent="0.15">
      <c r="A179" s="150"/>
      <c r="B179" s="189" t="s">
        <v>198</v>
      </c>
      <c r="C179" s="190"/>
      <c r="D179" s="191"/>
      <c r="E179" s="189" t="s">
        <v>199</v>
      </c>
      <c r="F179" s="190"/>
      <c r="G179" s="191"/>
      <c r="H179" s="189" t="s">
        <v>200</v>
      </c>
      <c r="I179" s="190"/>
      <c r="J179" s="191"/>
      <c r="K179" s="155"/>
      <c r="L179" s="154"/>
      <c r="M179" s="154"/>
      <c r="N179" s="153"/>
      <c r="O179" s="154"/>
      <c r="P179" s="154"/>
      <c r="Q179" s="153"/>
      <c r="R179" s="154"/>
      <c r="S179" s="154"/>
    </row>
    <row r="180" spans="1:20" ht="21" customHeight="1" x14ac:dyDescent="0.15">
      <c r="A180" s="144">
        <f>小5【S3】!$A$4</f>
        <v>1</v>
      </c>
      <c r="B180" s="145" t="str">
        <f>小5【S3】!$E$9</f>
        <v>国　語</v>
      </c>
      <c r="C180" s="146" t="str">
        <f>小5【S3】!$F$9</f>
        <v>古典の世界（二）</v>
      </c>
      <c r="D180" s="146" t="str">
        <f>小5【S3】!$G$9</f>
        <v>現</v>
      </c>
      <c r="E180" s="145" t="str">
        <f>小5【S3】!$H$9</f>
        <v>国　語</v>
      </c>
      <c r="F180" s="146" t="str">
        <f>小5【S3】!$I$9</f>
        <v>分かりやすく伝える</v>
      </c>
      <c r="G180" s="146" t="str">
        <f>小5【S3】!$J$9</f>
        <v>現</v>
      </c>
      <c r="H180" s="145" t="str">
        <f>小5【S3】!$K$9</f>
        <v>国　語</v>
      </c>
      <c r="I180" s="146" t="str">
        <f>小5【S3】!$L$9</f>
        <v>分かりやすく伝える</v>
      </c>
      <c r="J180" s="146" t="str">
        <f>小5【S3】!$M$9</f>
        <v>現</v>
      </c>
      <c r="K180" s="156"/>
      <c r="L180" s="139"/>
      <c r="M180" s="139"/>
      <c r="N180" s="140"/>
      <c r="O180" s="139"/>
      <c r="P180" s="139"/>
      <c r="Q180" s="140"/>
      <c r="R180" s="139"/>
      <c r="S180" s="139"/>
    </row>
    <row r="181" spans="1:20" ht="21" customHeight="1" x14ac:dyDescent="0.15">
      <c r="A181" s="147">
        <f>小5【S3】!$A$5</f>
        <v>2</v>
      </c>
      <c r="B181" s="148" t="str">
        <f>小5【S3】!$E$10</f>
        <v>国　語</v>
      </c>
      <c r="C181" s="149" t="str">
        <f>小5【S3】!$F$10</f>
        <v>古典の世界（二）</v>
      </c>
      <c r="D181" s="149" t="str">
        <f>小5【S3】!$G$10</f>
        <v>現</v>
      </c>
      <c r="E181" s="148" t="str">
        <f>小5【S3】!$H$10</f>
        <v>家庭科</v>
      </c>
      <c r="F181" s="149" t="str">
        <f>小5【S3】!$I$10</f>
        <v>学習用具・教科用語</v>
      </c>
      <c r="G181" s="149" t="str">
        <f>小5【S3】!$J$10</f>
        <v>現</v>
      </c>
      <c r="H181" s="148" t="str">
        <f>小5【S3】!$K$10</f>
        <v>理　科</v>
      </c>
      <c r="I181" s="149" t="str">
        <f>小5【S3】!$L$10</f>
        <v>電磁石の性質</v>
      </c>
      <c r="J181" s="149" t="str">
        <f>小5【S3】!$M$10</f>
        <v>現</v>
      </c>
      <c r="K181" s="156"/>
      <c r="L181" s="139"/>
      <c r="M181" s="139"/>
      <c r="N181" s="140"/>
      <c r="O181" s="139"/>
      <c r="P181" s="139"/>
      <c r="Q181" s="140"/>
      <c r="R181" s="139"/>
      <c r="S181" s="139"/>
    </row>
    <row r="182" spans="1:20" ht="21" customHeight="1" x14ac:dyDescent="0.15">
      <c r="A182" s="147">
        <f>小5【S3】!$A$6</f>
        <v>3</v>
      </c>
      <c r="B182" s="148" t="str">
        <f>小5【S3】!$E$11</f>
        <v>算　数</v>
      </c>
      <c r="C182" s="149" t="str">
        <f>小5【S3】!$F$11</f>
        <v>がい数とその計算（小4）</v>
      </c>
      <c r="D182" s="149" t="str">
        <f>小5【S3】!$G$11</f>
        <v>ス</v>
      </c>
      <c r="E182" s="148" t="str">
        <f>小5【S3】!$H$11</f>
        <v>社　会</v>
      </c>
      <c r="F182" s="149" t="str">
        <f>小5【S3】!$I$11</f>
        <v>情報化社会とわたしたちの生活</v>
      </c>
      <c r="G182" s="149" t="str">
        <f>小5【S3】!$J$11</f>
        <v>現</v>
      </c>
      <c r="H182" s="148" t="str">
        <f>小5【S3】!$K$11</f>
        <v>体　育</v>
      </c>
      <c r="I182" s="149" t="str">
        <f>小5【S3】!$L$11</f>
        <v>学習用具・教科用語</v>
      </c>
      <c r="J182" s="149" t="str">
        <f>小5【S3】!$M$11</f>
        <v>ス</v>
      </c>
      <c r="K182" s="156"/>
      <c r="L182" s="139"/>
      <c r="M182" s="139"/>
      <c r="N182" s="140"/>
      <c r="O182" s="139"/>
      <c r="P182" s="139"/>
      <c r="Q182" s="140"/>
      <c r="R182" s="139"/>
      <c r="S182" s="139"/>
    </row>
    <row r="183" spans="1:20" ht="21" customHeight="1" x14ac:dyDescent="0.15">
      <c r="A183" s="147">
        <f>小5【S3】!$A$7</f>
        <v>4</v>
      </c>
      <c r="B183" s="148" t="str">
        <f>小5【S3】!$E$12</f>
        <v>日本語</v>
      </c>
      <c r="C183" s="149" t="str">
        <f>小5【S3】!$F$12</f>
        <v>日本語能力試験</v>
      </c>
      <c r="D183" s="149" t="str">
        <f>小5【S3】!$G$12</f>
        <v>ス</v>
      </c>
      <c r="E183" s="148" t="str">
        <f>小5【S3】!$H$12</f>
        <v>日本語</v>
      </c>
      <c r="F183" s="149" t="str">
        <f>小5【S3】!$I$12</f>
        <v>語彙</v>
      </c>
      <c r="G183" s="149" t="str">
        <f>小5【S3】!$J$12</f>
        <v>ス</v>
      </c>
      <c r="H183" s="148" t="str">
        <f>小5【S3】!$K$12</f>
        <v>日本語</v>
      </c>
      <c r="I183" s="149" t="str">
        <f>小5【S3】!$L$12</f>
        <v>日本語能力試験</v>
      </c>
      <c r="J183" s="149" t="str">
        <f>小5【S3】!$M$12</f>
        <v>ス</v>
      </c>
      <c r="K183" s="156"/>
      <c r="L183" s="139"/>
      <c r="M183" s="139"/>
      <c r="N183" s="140"/>
      <c r="O183" s="139"/>
      <c r="P183" s="139"/>
      <c r="Q183" s="140"/>
      <c r="R183" s="139"/>
      <c r="S183" s="139"/>
    </row>
    <row r="184" spans="1:20" ht="21" customHeight="1" x14ac:dyDescent="0.15">
      <c r="A184" s="154"/>
      <c r="B184" s="153"/>
      <c r="C184" s="154"/>
      <c r="D184" s="154"/>
      <c r="E184" s="153"/>
      <c r="F184" s="154"/>
      <c r="G184" s="154"/>
      <c r="H184" s="153"/>
      <c r="I184" s="157"/>
      <c r="J184" s="157"/>
      <c r="K184" s="140"/>
      <c r="L184" s="139"/>
      <c r="M184" s="139"/>
      <c r="N184" s="140"/>
      <c r="O184" s="139"/>
      <c r="P184" s="139"/>
      <c r="Q184" s="140"/>
      <c r="R184" s="139"/>
      <c r="S184" s="139"/>
    </row>
    <row r="185" spans="1:20" ht="21" customHeight="1" x14ac:dyDescent="0.15">
      <c r="A185" s="139"/>
      <c r="B185" s="140"/>
      <c r="C185" s="185" t="str">
        <f>小5【S4】!$C$2</f>
        <v>小5　12月　【S4】　指導ユニット　モジュール（現学年・ステップ）配当計画</v>
      </c>
      <c r="D185" s="186"/>
      <c r="E185" s="186"/>
      <c r="F185" s="186"/>
      <c r="G185" s="187"/>
      <c r="H185" s="187"/>
      <c r="I185" s="187"/>
      <c r="J185" s="187"/>
      <c r="K185" s="187"/>
      <c r="L185" s="187"/>
      <c r="M185" s="188"/>
      <c r="N185" s="187"/>
      <c r="O185" s="139"/>
      <c r="P185" s="139"/>
      <c r="Q185" s="140"/>
      <c r="R185" s="139"/>
      <c r="S185" s="139"/>
    </row>
    <row r="186" spans="1:20" ht="21" customHeight="1" x14ac:dyDescent="0.15">
      <c r="A186" s="143" t="s">
        <v>191</v>
      </c>
      <c r="B186" s="189" t="s">
        <v>192</v>
      </c>
      <c r="C186" s="190"/>
      <c r="D186" s="191"/>
      <c r="E186" s="189" t="s">
        <v>193</v>
      </c>
      <c r="F186" s="190"/>
      <c r="G186" s="191"/>
      <c r="H186" s="189" t="s">
        <v>194</v>
      </c>
      <c r="I186" s="190"/>
      <c r="J186" s="191"/>
      <c r="K186" s="189" t="s">
        <v>195</v>
      </c>
      <c r="L186" s="190"/>
      <c r="M186" s="191"/>
      <c r="N186" s="189" t="s">
        <v>196</v>
      </c>
      <c r="O186" s="190"/>
      <c r="P186" s="191"/>
      <c r="Q186" s="189" t="s">
        <v>197</v>
      </c>
      <c r="R186" s="190"/>
      <c r="S186" s="191"/>
      <c r="T186" s="9"/>
    </row>
    <row r="187" spans="1:20" ht="21" customHeight="1" x14ac:dyDescent="0.15">
      <c r="A187" s="144">
        <f>小5【S4】!$A$4</f>
        <v>1</v>
      </c>
      <c r="B187" s="145" t="str">
        <f>小5【S4】!$B$4</f>
        <v>国　語</v>
      </c>
      <c r="C187" s="146" t="str">
        <f>小5【S4】!$C$4</f>
        <v>同じ読み方の漢字</v>
      </c>
      <c r="D187" s="146" t="str">
        <f>小5【S4】!$D$4</f>
        <v>現</v>
      </c>
      <c r="E187" s="145" t="str">
        <f>小5【S4】!$E$4</f>
        <v>国　語</v>
      </c>
      <c r="F187" s="146" t="str">
        <f>小5【S4】!$F$4</f>
        <v>百年後のふるさとを守る</v>
      </c>
      <c r="G187" s="146" t="str">
        <f>小5【S4】!$G$4</f>
        <v>現</v>
      </c>
      <c r="H187" s="145" t="str">
        <f>小5【S4】!$H$4</f>
        <v>国　語</v>
      </c>
      <c r="I187" s="146" t="str">
        <f>小5【S4】!$I$4</f>
        <v>百年後のふるさとを守る</v>
      </c>
      <c r="J187" s="146" t="str">
        <f>小5【S4】!$J$4</f>
        <v>現</v>
      </c>
      <c r="K187" s="145" t="str">
        <f>小5【S4】!$K$4</f>
        <v>国　語</v>
      </c>
      <c r="L187" s="146" t="str">
        <f>小5【S4】!$L$4</f>
        <v>古典の世界（二）</v>
      </c>
      <c r="M187" s="146" t="str">
        <f>小5【S4】!$M$4</f>
        <v>現</v>
      </c>
      <c r="N187" s="145" t="str">
        <f>小5【S4】!$N$4</f>
        <v>国　語</v>
      </c>
      <c r="O187" s="146" t="str">
        <f>小5【S4】!$O$4</f>
        <v>古典の世界（二）</v>
      </c>
      <c r="P187" s="146" t="str">
        <f>小5【S4】!$P$4</f>
        <v>現</v>
      </c>
      <c r="Q187" s="145" t="str">
        <f>小5【S4】!$B$9</f>
        <v>国　語</v>
      </c>
      <c r="R187" s="146" t="str">
        <f>小5【S4】!$C$9</f>
        <v>分かりやすく伝える</v>
      </c>
      <c r="S187" s="146" t="str">
        <f>小5【S4】!$D$9</f>
        <v>現</v>
      </c>
      <c r="T187" s="9"/>
    </row>
    <row r="188" spans="1:20" ht="21" customHeight="1" x14ac:dyDescent="0.15">
      <c r="A188" s="147">
        <f>小5【S4】!$A$5</f>
        <v>2</v>
      </c>
      <c r="B188" s="148" t="str">
        <f>小5【S4】!$B$5</f>
        <v>国　語</v>
      </c>
      <c r="C188" s="149" t="str">
        <f>小5【S4】!$C$5</f>
        <v>同じ読み方の漢字</v>
      </c>
      <c r="D188" s="149" t="str">
        <f>小5【S4】!$D$5</f>
        <v>現</v>
      </c>
      <c r="E188" s="148" t="str">
        <f>小5【S4】!$E$5</f>
        <v>算　数</v>
      </c>
      <c r="F188" s="149" t="str">
        <f>小5【S4】!$F$5</f>
        <v>分数のかけ算とわり算</v>
      </c>
      <c r="G188" s="149" t="str">
        <f>小5【S4】!$G$5</f>
        <v>現</v>
      </c>
      <c r="H188" s="148" t="str">
        <f>小5【S4】!$H$5</f>
        <v>算　数</v>
      </c>
      <c r="I188" s="149" t="str">
        <f>小5【S4】!$I$5</f>
        <v>分数と小数の関係</v>
      </c>
      <c r="J188" s="149" t="str">
        <f>小5【S4】!$J$5</f>
        <v>現</v>
      </c>
      <c r="K188" s="148" t="str">
        <f>小5【S4】!$K$5</f>
        <v>算　数</v>
      </c>
      <c r="L188" s="149" t="str">
        <f>小5【S4】!$L$5</f>
        <v>見積もりを使って</v>
      </c>
      <c r="M188" s="149" t="str">
        <f>小5【S4】!$M$5</f>
        <v>現</v>
      </c>
      <c r="N188" s="148" t="str">
        <f>小5【S4】!$N$5</f>
        <v>算　数</v>
      </c>
      <c r="O188" s="149" t="str">
        <f>小5【S4】!$O$5</f>
        <v>順々に調べて</v>
      </c>
      <c r="P188" s="149" t="str">
        <f>小5【S4】!$P$5</f>
        <v>現</v>
      </c>
      <c r="Q188" s="148" t="str">
        <f>小5【S4】!$B$10</f>
        <v>図　工</v>
      </c>
      <c r="R188" s="149" t="str">
        <f>小5【S4】!$C$10</f>
        <v>学習用具・教科用語</v>
      </c>
      <c r="S188" s="149" t="str">
        <f>小5【S4】!$D$10</f>
        <v>現</v>
      </c>
      <c r="T188" s="9"/>
    </row>
    <row r="189" spans="1:20" ht="21" customHeight="1" x14ac:dyDescent="0.15">
      <c r="A189" s="147">
        <f>小5【S4】!$A$6</f>
        <v>3</v>
      </c>
      <c r="B189" s="148" t="str">
        <f>小5【S4】!$B$6</f>
        <v>算　数</v>
      </c>
      <c r="C189" s="149" t="str">
        <f>小5【S4】!$C$6</f>
        <v>分数のかけ算とわり算</v>
      </c>
      <c r="D189" s="149" t="str">
        <f>小5【S4】!$D$6</f>
        <v>現</v>
      </c>
      <c r="E189" s="148" t="str">
        <f>小5【S4】!$E$6</f>
        <v>音　楽</v>
      </c>
      <c r="F189" s="149" t="str">
        <f>小5【S4】!$F$6</f>
        <v>学習用具・教科用語</v>
      </c>
      <c r="G189" s="149" t="str">
        <f>小5【S4】!$G$6</f>
        <v>現</v>
      </c>
      <c r="H189" s="148" t="str">
        <f>小5【S4】!$H$6</f>
        <v>理　科</v>
      </c>
      <c r="I189" s="149" t="str">
        <f>小5【S4】!$I$6</f>
        <v>電磁石の性質</v>
      </c>
      <c r="J189" s="149" t="str">
        <f>小5【S4】!$J$6</f>
        <v>現</v>
      </c>
      <c r="K189" s="148" t="str">
        <f>小5【S4】!$K$6</f>
        <v>理　科</v>
      </c>
      <c r="L189" s="149" t="str">
        <f>小5【S4】!$L$6</f>
        <v>電磁石の性質</v>
      </c>
      <c r="M189" s="149" t="str">
        <f>小5【S4】!$M$6</f>
        <v>現</v>
      </c>
      <c r="N189" s="148" t="str">
        <f>小5【S4】!$N$6</f>
        <v>社　会</v>
      </c>
      <c r="O189" s="149" t="str">
        <f>小5【S4】!$O$6</f>
        <v>情報化社会とわたしたちの生活</v>
      </c>
      <c r="P189" s="149" t="str">
        <f>小5【S4】!$P$6</f>
        <v>現</v>
      </c>
      <c r="Q189" s="148" t="str">
        <f>小5【S4】!$B$11</f>
        <v>社　会</v>
      </c>
      <c r="R189" s="149" t="str">
        <f>小5【S4】!$C$11</f>
        <v>情報化社会とわたしたちの生活</v>
      </c>
      <c r="S189" s="149" t="str">
        <f>小5【S4】!$D$11</f>
        <v>現</v>
      </c>
      <c r="T189" s="9"/>
    </row>
    <row r="190" spans="1:20" ht="21" customHeight="1" x14ac:dyDescent="0.15">
      <c r="A190" s="147">
        <f>小5【S4】!$A$7</f>
        <v>4</v>
      </c>
      <c r="B190" s="148" t="str">
        <f>小5【S4】!$B$7</f>
        <v>体　育</v>
      </c>
      <c r="C190" s="149" t="str">
        <f>小5【S4】!$C$7</f>
        <v>学習用具・教科用語</v>
      </c>
      <c r="D190" s="149" t="str">
        <f>小5【S4】!$D$7</f>
        <v>ス</v>
      </c>
      <c r="E190" s="148" t="str">
        <f>小5【S4】!$E$7</f>
        <v>日本語</v>
      </c>
      <c r="F190" s="149" t="str">
        <f>小5【S4】!$F$7</f>
        <v>日本語能力試験</v>
      </c>
      <c r="G190" s="149" t="str">
        <f>小5【S4】!$G$7</f>
        <v>ス</v>
      </c>
      <c r="H190" s="148" t="str">
        <f>小5【S4】!$H$7</f>
        <v>日本語</v>
      </c>
      <c r="I190" s="149" t="str">
        <f>小5【S4】!$I$7</f>
        <v>日本の文化</v>
      </c>
      <c r="J190" s="149" t="str">
        <f>小5【S4】!$J$7</f>
        <v>ス</v>
      </c>
      <c r="K190" s="148" t="str">
        <f>小5【S4】!$K$7</f>
        <v>算　数</v>
      </c>
      <c r="L190" s="149" t="str">
        <f>小5【S4】!$L$7</f>
        <v>がい数とその計算（小4）</v>
      </c>
      <c r="M190" s="149" t="str">
        <f>小5【S4】!$M$7</f>
        <v>ス</v>
      </c>
      <c r="N190" s="148" t="str">
        <f>小5【S4】!$N$7</f>
        <v>社　会</v>
      </c>
      <c r="O190" s="149" t="str">
        <f>小5【S4】!$O$7</f>
        <v>学習用具・教科用語</v>
      </c>
      <c r="P190" s="149" t="str">
        <f>小5【S4】!$P$7</f>
        <v>ス</v>
      </c>
      <c r="Q190" s="148" t="str">
        <f>小5【S4】!$B$12</f>
        <v>理　科</v>
      </c>
      <c r="R190" s="149" t="str">
        <f>小5【S4】!$C$12</f>
        <v>学習用具・教科用語</v>
      </c>
      <c r="S190" s="149" t="str">
        <f>小5【S4】!$D$12</f>
        <v>ス</v>
      </c>
      <c r="T190" s="9"/>
    </row>
    <row r="191" spans="1:20" ht="21" customHeight="1" x14ac:dyDescent="0.15">
      <c r="A191" s="154"/>
      <c r="B191" s="153"/>
      <c r="C191" s="154"/>
      <c r="D191" s="154"/>
      <c r="E191" s="153"/>
      <c r="F191" s="154"/>
      <c r="G191" s="154"/>
      <c r="H191" s="153"/>
      <c r="I191" s="157"/>
      <c r="J191" s="157"/>
      <c r="K191" s="153"/>
      <c r="L191" s="154"/>
      <c r="M191" s="154"/>
      <c r="N191" s="153"/>
      <c r="O191" s="154"/>
      <c r="P191" s="154"/>
      <c r="Q191" s="153"/>
      <c r="R191" s="154"/>
      <c r="S191" s="154"/>
    </row>
    <row r="192" spans="1:20" ht="21" customHeight="1" x14ac:dyDescent="0.15">
      <c r="A192" s="139"/>
      <c r="B192" s="140"/>
      <c r="C192" s="139"/>
      <c r="D192" s="139"/>
      <c r="E192" s="140"/>
      <c r="F192" s="139"/>
      <c r="G192" s="139"/>
      <c r="H192" s="140"/>
      <c r="I192" s="158"/>
      <c r="J192" s="158"/>
      <c r="K192" s="140"/>
      <c r="L192" s="139"/>
      <c r="M192" s="139"/>
      <c r="N192" s="140"/>
      <c r="O192" s="139"/>
      <c r="P192" s="139"/>
      <c r="Q192" s="140"/>
      <c r="R192" s="139"/>
      <c r="S192" s="139"/>
    </row>
    <row r="193" spans="1:20" ht="21" customHeight="1" x14ac:dyDescent="0.15">
      <c r="A193" s="139"/>
      <c r="B193" s="141"/>
      <c r="C193" s="185" t="str">
        <f>小6【S2】!$C$2</f>
        <v>小6　12月　【S2】　指導ユニット　モジュール（現学年・ステップ）配当計画</v>
      </c>
      <c r="D193" s="186"/>
      <c r="E193" s="186"/>
      <c r="F193" s="186"/>
      <c r="G193" s="187"/>
      <c r="H193" s="187"/>
      <c r="I193" s="187"/>
      <c r="J193" s="187"/>
      <c r="K193" s="187"/>
      <c r="L193" s="187"/>
      <c r="M193" s="188"/>
      <c r="N193" s="187"/>
      <c r="O193" s="139"/>
      <c r="P193" s="142"/>
      <c r="Q193" s="140"/>
      <c r="R193" s="139"/>
      <c r="S193" s="139"/>
    </row>
    <row r="194" spans="1:20" ht="21" customHeight="1" x14ac:dyDescent="0.15">
      <c r="A194" s="143" t="s">
        <v>191</v>
      </c>
      <c r="B194" s="189" t="s">
        <v>192</v>
      </c>
      <c r="C194" s="190"/>
      <c r="D194" s="191"/>
      <c r="E194" s="189" t="s">
        <v>193</v>
      </c>
      <c r="F194" s="190"/>
      <c r="G194" s="191"/>
      <c r="H194" s="189" t="s">
        <v>194</v>
      </c>
      <c r="I194" s="190"/>
      <c r="J194" s="191"/>
      <c r="K194" s="189" t="s">
        <v>195</v>
      </c>
      <c r="L194" s="190"/>
      <c r="M194" s="191"/>
      <c r="N194" s="189" t="s">
        <v>196</v>
      </c>
      <c r="O194" s="190"/>
      <c r="P194" s="191"/>
      <c r="Q194" s="189" t="s">
        <v>197</v>
      </c>
      <c r="R194" s="190"/>
      <c r="S194" s="191"/>
      <c r="T194" s="9"/>
    </row>
    <row r="195" spans="1:20" ht="21" customHeight="1" x14ac:dyDescent="0.15">
      <c r="A195" s="144">
        <f>小6【S2】!$A$4</f>
        <v>1</v>
      </c>
      <c r="B195" s="145" t="str">
        <f>小6【S2】!$B$4</f>
        <v>国　語</v>
      </c>
      <c r="C195" s="146" t="str">
        <f>小6【S2】!$C$4</f>
        <v>日本で使う文字</v>
      </c>
      <c r="D195" s="146" t="str">
        <f>小6【S2】!$D$4</f>
        <v>現</v>
      </c>
      <c r="E195" s="145" t="str">
        <f>小6【S2】!$E$4</f>
        <v>国　語</v>
      </c>
      <c r="F195" s="146" t="str">
        <f>小6【S2】!$F$4</f>
        <v>日本で使う文字</v>
      </c>
      <c r="G195" s="146" t="str">
        <f>小6【S2】!$G$4</f>
        <v>現</v>
      </c>
      <c r="H195" s="145" t="str">
        <f>小6【S2】!$H$4</f>
        <v>国　語</v>
      </c>
      <c r="I195" s="146" t="str">
        <f>小6【S2】!$I$4</f>
        <v>日本で使う文字</v>
      </c>
      <c r="J195" s="146" t="str">
        <f>小6【S2】!$J$4</f>
        <v>現</v>
      </c>
      <c r="K195" s="145" t="str">
        <f>小6【S2】!$K$4</f>
        <v>国　語</v>
      </c>
      <c r="L195" s="146" t="str">
        <f>小6【S2】!$L$4</f>
        <v>漢字の広場⑤</v>
      </c>
      <c r="M195" s="146" t="str">
        <f>小6【S2】!$M$4</f>
        <v>現</v>
      </c>
      <c r="N195" s="145" t="str">
        <f>小6【S2】!$N$4</f>
        <v>算　数</v>
      </c>
      <c r="O195" s="146" t="str">
        <f>小6【S2】!$O$4</f>
        <v>場合を順序よく整理して</v>
      </c>
      <c r="P195" s="146" t="str">
        <f>小6【S2】!$P$4</f>
        <v>現</v>
      </c>
      <c r="Q195" s="145" t="str">
        <f>小6【S2】!$B$9</f>
        <v>算　数</v>
      </c>
      <c r="R195" s="146" t="str">
        <f>小6【S2】!$C$9</f>
        <v>場合を順序よく整理して</v>
      </c>
      <c r="S195" s="146" t="str">
        <f>小6【S2】!$D$9</f>
        <v>現</v>
      </c>
      <c r="T195" s="9"/>
    </row>
    <row r="196" spans="1:20" ht="21" customHeight="1" x14ac:dyDescent="0.15">
      <c r="A196" s="147">
        <f>小6【S2】!$A$5</f>
        <v>2</v>
      </c>
      <c r="B196" s="148" t="str">
        <f>小6【S2】!$B$5</f>
        <v>算　数</v>
      </c>
      <c r="C196" s="149" t="str">
        <f>小6【S2】!$C$5</f>
        <v>場合を順序よく整理して</v>
      </c>
      <c r="D196" s="149" t="str">
        <f>小6【S2】!$D$5</f>
        <v>現</v>
      </c>
      <c r="E196" s="148" t="str">
        <f>小6【S2】!$E$5</f>
        <v>社　会</v>
      </c>
      <c r="F196" s="149" t="str">
        <f>小6【S2】!$F$5</f>
        <v>わたしたちの願いを実現する政治</v>
      </c>
      <c r="G196" s="149" t="str">
        <f>小6【S2】!$G$5</f>
        <v>現</v>
      </c>
      <c r="H196" s="148" t="str">
        <f>小6【S2】!$H$5</f>
        <v>算　数</v>
      </c>
      <c r="I196" s="149" t="str">
        <f>小6【S2】!$I$5</f>
        <v>場合を順序よく整理して</v>
      </c>
      <c r="J196" s="149" t="str">
        <f>小6【S2】!$J$5</f>
        <v>現</v>
      </c>
      <c r="K196" s="148" t="str">
        <f>小6【S2】!$K$5</f>
        <v>社　会</v>
      </c>
      <c r="L196" s="149" t="str">
        <f>小6【S2】!$L$5</f>
        <v>わたしたちの願いを実現する政治</v>
      </c>
      <c r="M196" s="149" t="str">
        <f>小6【S2】!$M$5</f>
        <v>現</v>
      </c>
      <c r="N196" s="148" t="str">
        <f>小6【S2】!$N$5</f>
        <v>理　科</v>
      </c>
      <c r="O196" s="149" t="str">
        <f>小6【S2】!$O$5</f>
        <v>てこのはたらき</v>
      </c>
      <c r="P196" s="149" t="str">
        <f>小6【S2】!$P$5</f>
        <v>現</v>
      </c>
      <c r="Q196" s="148" t="str">
        <f>小6【S2】!$B$10</f>
        <v>国　語</v>
      </c>
      <c r="R196" s="149" t="str">
        <f>小6【S2】!$C$10</f>
        <v>古典の世界（二）（小5）</v>
      </c>
      <c r="S196" s="149" t="str">
        <f>小6【S2】!$D$10</f>
        <v>ス</v>
      </c>
      <c r="T196" s="9"/>
    </row>
    <row r="197" spans="1:20" ht="21" customHeight="1" x14ac:dyDescent="0.15">
      <c r="A197" s="147">
        <f>小6【S2】!$A$6</f>
        <v>3</v>
      </c>
      <c r="B197" s="148" t="str">
        <f>小6【S2】!$B$6</f>
        <v>社　会</v>
      </c>
      <c r="C197" s="149" t="str">
        <f>小6【S2】!$C$6</f>
        <v>学習用具・教科用語</v>
      </c>
      <c r="D197" s="149" t="str">
        <f>小6【S2】!$D$6</f>
        <v>ス</v>
      </c>
      <c r="E197" s="148" t="str">
        <f>小6【S2】!$E$6</f>
        <v>国　語</v>
      </c>
      <c r="F197" s="149" t="str">
        <f>小6【S2】!$F$6</f>
        <v>和語・漢語・外来語</v>
      </c>
      <c r="G197" s="149" t="str">
        <f>小6【S2】!$G$6</f>
        <v>ス</v>
      </c>
      <c r="H197" s="148" t="str">
        <f>小6【S2】!$H$6</f>
        <v>国　語</v>
      </c>
      <c r="I197" s="149" t="str">
        <f>小6【S2】!$I$6</f>
        <v>和語・漢語・外来語</v>
      </c>
      <c r="J197" s="149" t="str">
        <f>小6【S2】!$J$6</f>
        <v>ス</v>
      </c>
      <c r="K197" s="148" t="str">
        <f>小6【S2】!$K$6</f>
        <v>国　語</v>
      </c>
      <c r="L197" s="149" t="str">
        <f>小6【S2】!$L$6</f>
        <v>古典の世界（一）（小5）</v>
      </c>
      <c r="M197" s="149" t="str">
        <f>小6【S2】!$M$6</f>
        <v>ス</v>
      </c>
      <c r="N197" s="148" t="str">
        <f>小6【S2】!$N$6</f>
        <v>国　語</v>
      </c>
      <c r="O197" s="149" t="str">
        <f>小6【S2】!$O$6</f>
        <v>古典の世界（一）（小5）</v>
      </c>
      <c r="P197" s="149" t="str">
        <f>小6【S2】!$P$6</f>
        <v>ス</v>
      </c>
      <c r="Q197" s="148" t="str">
        <f>小6【S2】!$B$11</f>
        <v>日本語</v>
      </c>
      <c r="R197" s="149" t="str">
        <f>小6【S2】!$C$11</f>
        <v>日本語能力試験</v>
      </c>
      <c r="S197" s="149" t="str">
        <f>小6【S2】!$D$11</f>
        <v>ス</v>
      </c>
      <c r="T197" s="9"/>
    </row>
    <row r="198" spans="1:20" ht="21" customHeight="1" x14ac:dyDescent="0.15">
      <c r="A198" s="147">
        <f>小6【S2】!$A$7</f>
        <v>4</v>
      </c>
      <c r="B198" s="148" t="str">
        <f>小6【S2】!$B$7</f>
        <v>算　数</v>
      </c>
      <c r="C198" s="149" t="str">
        <f>小6【S2】!$C$7</f>
        <v>順々に調べて（小5）</v>
      </c>
      <c r="D198" s="149" t="str">
        <f>小6【S2】!$D$7</f>
        <v>ス</v>
      </c>
      <c r="E198" s="148" t="str">
        <f>小6【S2】!$E$7</f>
        <v>算　数</v>
      </c>
      <c r="F198" s="149" t="str">
        <f>小6【S2】!$F$7</f>
        <v>順々に調べて（小5）</v>
      </c>
      <c r="G198" s="149" t="str">
        <f>小6【S2】!$G$7</f>
        <v>ス</v>
      </c>
      <c r="H198" s="148" t="str">
        <f>小6【S2】!$H$7</f>
        <v>日本語</v>
      </c>
      <c r="I198" s="149" t="str">
        <f>小6【S2】!$I$7</f>
        <v>語彙</v>
      </c>
      <c r="J198" s="149" t="str">
        <f>小6【S2】!$J$7</f>
        <v>ス</v>
      </c>
      <c r="K198" s="148" t="str">
        <f>小6【S2】!$K$7</f>
        <v>算　数</v>
      </c>
      <c r="L198" s="149" t="str">
        <f>小6【S2】!$L$7</f>
        <v>順々に調べて（小5）</v>
      </c>
      <c r="M198" s="149" t="str">
        <f>小6【S2】!$M$7</f>
        <v>ス</v>
      </c>
      <c r="N198" s="148" t="str">
        <f>小6【S2】!$N$7</f>
        <v>日本語</v>
      </c>
      <c r="O198" s="149" t="str">
        <f>小6【S2】!$O$7</f>
        <v>家庭生活</v>
      </c>
      <c r="P198" s="149" t="str">
        <f>小6【S2】!$P$7</f>
        <v>ス</v>
      </c>
      <c r="Q198" s="148" t="str">
        <f>小6【S2】!$B$12</f>
        <v>音　楽</v>
      </c>
      <c r="R198" s="149" t="str">
        <f>小6【S2】!$C$12</f>
        <v>学習用具・教科用語</v>
      </c>
      <c r="S198" s="149" t="str">
        <f>小6【S2】!$D$12</f>
        <v>ス</v>
      </c>
      <c r="T198" s="9"/>
    </row>
    <row r="199" spans="1:20" ht="21" customHeight="1" x14ac:dyDescent="0.15">
      <c r="A199" s="150"/>
      <c r="B199" s="189" t="s">
        <v>198</v>
      </c>
      <c r="C199" s="190"/>
      <c r="D199" s="191"/>
      <c r="E199" s="189" t="s">
        <v>199</v>
      </c>
      <c r="F199" s="190"/>
      <c r="G199" s="191"/>
      <c r="H199" s="189" t="s">
        <v>200</v>
      </c>
      <c r="I199" s="190"/>
      <c r="J199" s="191"/>
      <c r="K199" s="189" t="s">
        <v>201</v>
      </c>
      <c r="L199" s="190"/>
      <c r="M199" s="191"/>
      <c r="N199" s="189" t="s">
        <v>202</v>
      </c>
      <c r="O199" s="190"/>
      <c r="P199" s="191"/>
      <c r="Q199" s="189" t="s">
        <v>203</v>
      </c>
      <c r="R199" s="190"/>
      <c r="S199" s="191"/>
      <c r="T199" s="9"/>
    </row>
    <row r="200" spans="1:20" ht="21" customHeight="1" x14ac:dyDescent="0.15">
      <c r="A200" s="144">
        <f>小6【S2】!$A$4</f>
        <v>1</v>
      </c>
      <c r="B200" s="145" t="str">
        <f>小6【S2】!$E$9</f>
        <v>国　語</v>
      </c>
      <c r="C200" s="146" t="str">
        <f>小6【S2】!$F$9</f>
        <v>漢字の広場⑤</v>
      </c>
      <c r="D200" s="146" t="str">
        <f>小6【S2】!$G$9</f>
        <v>現</v>
      </c>
      <c r="E200" s="145" t="str">
        <f>小6【S2】!$H$9</f>
        <v>国　語</v>
      </c>
      <c r="F200" s="146" t="str">
        <f>小6【S2】!$I$9</f>
        <v>表現を選ぶ</v>
      </c>
      <c r="G200" s="146" t="str">
        <f>小6【S2】!$J$9</f>
        <v>現</v>
      </c>
      <c r="H200" s="145" t="str">
        <f>小6【S2】!$K$9</f>
        <v>算　数</v>
      </c>
      <c r="I200" s="146" t="str">
        <f>小6【S2】!$L$9</f>
        <v>場合を順序よく整理して</v>
      </c>
      <c r="J200" s="146" t="str">
        <f>小6【S2】!$M$9</f>
        <v>現</v>
      </c>
      <c r="K200" s="145" t="str">
        <f>小6【S2】!$N$9</f>
        <v>国　語</v>
      </c>
      <c r="L200" s="146" t="str">
        <f>小6【S2】!$O$9</f>
        <v>天地の文</v>
      </c>
      <c r="M200" s="146" t="str">
        <f>小6【S2】!$P$9</f>
        <v>現</v>
      </c>
      <c r="N200" s="145" t="str">
        <f>小6【S2】!$B$14</f>
        <v>国　語</v>
      </c>
      <c r="O200" s="146" t="str">
        <f>小6【S2】!$C$14</f>
        <v>天地の文</v>
      </c>
      <c r="P200" s="146" t="str">
        <f>小6【S2】!$D$14</f>
        <v>現</v>
      </c>
      <c r="Q200" s="145" t="str">
        <f>小6【S2】!$E$14</f>
        <v>国　語</v>
      </c>
      <c r="R200" s="146" t="str">
        <f>小6【S2】!$F$14</f>
        <v>天地の文</v>
      </c>
      <c r="S200" s="146" t="str">
        <f>小6【S2】!$G$14</f>
        <v>現</v>
      </c>
      <c r="T200" s="9"/>
    </row>
    <row r="201" spans="1:20" ht="21" customHeight="1" x14ac:dyDescent="0.15">
      <c r="A201" s="147">
        <f>小6【S2】!$A$5</f>
        <v>2</v>
      </c>
      <c r="B201" s="148" t="str">
        <f>小6【S2】!$E$10</f>
        <v>国　語</v>
      </c>
      <c r="C201" s="149" t="str">
        <f>小6【S2】!$F$10</f>
        <v>表現を選ぶ</v>
      </c>
      <c r="D201" s="149" t="str">
        <f>小6【S2】!$G$10</f>
        <v>現</v>
      </c>
      <c r="E201" s="148" t="str">
        <f>小6【S2】!$H$10</f>
        <v>理　科</v>
      </c>
      <c r="F201" s="149" t="str">
        <f>小6【S2】!$I$10</f>
        <v>学習用具・教科用語</v>
      </c>
      <c r="G201" s="149" t="str">
        <f>小6【S2】!$J$10</f>
        <v>ス</v>
      </c>
      <c r="H201" s="148" t="str">
        <f>小6【S2】!$K$10</f>
        <v>国　語</v>
      </c>
      <c r="I201" s="149" t="str">
        <f>小6【S2】!$L$10</f>
        <v>表現を選ぶ</v>
      </c>
      <c r="J201" s="149" t="str">
        <f>小6【S2】!$M$10</f>
        <v>現</v>
      </c>
      <c r="K201" s="148" t="str">
        <f>小6【S2】!$N$10</f>
        <v>家庭科</v>
      </c>
      <c r="L201" s="149" t="str">
        <f>小6【S2】!$O$10</f>
        <v>学習用具・教科用語</v>
      </c>
      <c r="M201" s="149" t="str">
        <f>小6【S2】!$P$10</f>
        <v>ス</v>
      </c>
      <c r="N201" s="148" t="str">
        <f>小6【S2】!$B$15</f>
        <v>日本語</v>
      </c>
      <c r="O201" s="149" t="str">
        <f>小6【S2】!$C$15</f>
        <v>家庭生活</v>
      </c>
      <c r="P201" s="149" t="str">
        <f>小6【S2】!$D$15</f>
        <v>ス</v>
      </c>
      <c r="Q201" s="148" t="str">
        <f>小6【S2】!$E$15</f>
        <v>算　数</v>
      </c>
      <c r="R201" s="149" t="str">
        <f>小6【S2】!$F$15</f>
        <v>順々に調べて（小5）</v>
      </c>
      <c r="S201" s="149" t="str">
        <f>小6【S2】!$G$15</f>
        <v>ス</v>
      </c>
      <c r="T201" s="9"/>
    </row>
    <row r="202" spans="1:20" ht="21" customHeight="1" x14ac:dyDescent="0.15">
      <c r="A202" s="147">
        <f>小6【S2】!$A$6</f>
        <v>3</v>
      </c>
      <c r="B202" s="148" t="str">
        <f>小6【S2】!$E$11</f>
        <v>国　語</v>
      </c>
      <c r="C202" s="149" t="str">
        <f>小6【S2】!$F$11</f>
        <v>古典の世界（二）（小5）</v>
      </c>
      <c r="D202" s="149" t="str">
        <f>小6【S2】!$G$11</f>
        <v>ス</v>
      </c>
      <c r="E202" s="148" t="str">
        <f>小6【S2】!$H$11</f>
        <v>社　会</v>
      </c>
      <c r="F202" s="149" t="str">
        <f>小6【S2】!$I$11</f>
        <v>学習用具・教科用語</v>
      </c>
      <c r="G202" s="149" t="str">
        <f>小6【S2】!$J$11</f>
        <v>ス</v>
      </c>
      <c r="H202" s="148" t="str">
        <f>小6【S2】!$K$11</f>
        <v>日本語</v>
      </c>
      <c r="I202" s="149" t="str">
        <f>小6【S2】!$L$11</f>
        <v>日本の文化</v>
      </c>
      <c r="J202" s="149" t="str">
        <f>小6【S2】!$M$11</f>
        <v>ス</v>
      </c>
      <c r="K202" s="148" t="str">
        <f>小6【S2】!$N$11</f>
        <v>日本語</v>
      </c>
      <c r="L202" s="149" t="str">
        <f>小6【S2】!$O$11</f>
        <v>学校生活</v>
      </c>
      <c r="M202" s="149" t="str">
        <f>小6【S2】!$P$11</f>
        <v>ス</v>
      </c>
      <c r="N202" s="148" t="str">
        <f>小6【S2】!$B$16</f>
        <v>日本語</v>
      </c>
      <c r="O202" s="149" t="str">
        <f>小6【S2】!$C$16</f>
        <v>語彙</v>
      </c>
      <c r="P202" s="149" t="str">
        <f>小6【S2】!$D$16</f>
        <v>ス</v>
      </c>
      <c r="Q202" s="148" t="str">
        <f>小6【S2】!$E$16</f>
        <v>日本語</v>
      </c>
      <c r="R202" s="149" t="str">
        <f>小6【S2】!$F$16</f>
        <v>学校生活</v>
      </c>
      <c r="S202" s="149" t="str">
        <f>小6【S2】!$G$16</f>
        <v>ス</v>
      </c>
      <c r="T202" s="9"/>
    </row>
    <row r="203" spans="1:20" ht="21" customHeight="1" x14ac:dyDescent="0.15">
      <c r="A203" s="147">
        <f>小6【S2】!$A$7</f>
        <v>4</v>
      </c>
      <c r="B203" s="148" t="str">
        <f>小6【S2】!$E$12</f>
        <v>算　数</v>
      </c>
      <c r="C203" s="149" t="str">
        <f>小6【S2】!$F$12</f>
        <v>順々に調べて（小5）</v>
      </c>
      <c r="D203" s="149" t="str">
        <f>小6【S2】!$G$12</f>
        <v>ス</v>
      </c>
      <c r="E203" s="148" t="str">
        <f>小6【S2】!$H$12</f>
        <v>算　数</v>
      </c>
      <c r="F203" s="149" t="str">
        <f>小6【S2】!$I$12</f>
        <v>順々に調べて（小5）</v>
      </c>
      <c r="G203" s="149" t="str">
        <f>小6【S2】!$J$12</f>
        <v>ス</v>
      </c>
      <c r="H203" s="148" t="str">
        <f>小6【S2】!$K$12</f>
        <v>算　数</v>
      </c>
      <c r="I203" s="149" t="str">
        <f>小6【S2】!$L$12</f>
        <v>順々に調べて（小5）</v>
      </c>
      <c r="J203" s="149" t="str">
        <f>小6【S2】!$M$12</f>
        <v>ス</v>
      </c>
      <c r="K203" s="148" t="str">
        <f>小6【S2】!$N$12</f>
        <v>体　育</v>
      </c>
      <c r="L203" s="149" t="str">
        <f>小6【S2】!$O$12</f>
        <v>学習用具・教科用語</v>
      </c>
      <c r="M203" s="149" t="str">
        <f>小6【S2】!$P$12</f>
        <v>ス</v>
      </c>
      <c r="N203" s="148" t="str">
        <f>小6【S2】!$B$17</f>
        <v>理　科</v>
      </c>
      <c r="O203" s="149" t="str">
        <f>小6【S2】!$C$17</f>
        <v>学習用具・教科用語</v>
      </c>
      <c r="P203" s="149" t="str">
        <f>小6【S2】!$D$17</f>
        <v>ス</v>
      </c>
      <c r="Q203" s="148" t="str">
        <f>小6【S2】!$E$17</f>
        <v>日本語</v>
      </c>
      <c r="R203" s="149" t="str">
        <f>小6【S2】!$F$17</f>
        <v>日本語能力試験</v>
      </c>
      <c r="S203" s="149" t="str">
        <f>小6【S2】!$G$17</f>
        <v>ス</v>
      </c>
      <c r="T203" s="9"/>
    </row>
    <row r="204" spans="1:20" ht="21" customHeight="1" x14ac:dyDescent="0.15">
      <c r="A204" s="150"/>
      <c r="B204" s="150"/>
      <c r="C204" s="151"/>
      <c r="D204" s="151"/>
      <c r="E204" s="150"/>
      <c r="F204" s="151"/>
      <c r="G204" s="151"/>
      <c r="H204" s="150"/>
      <c r="I204" s="152"/>
      <c r="J204" s="152"/>
      <c r="K204" s="150"/>
      <c r="L204" s="151"/>
      <c r="M204" s="151"/>
      <c r="N204" s="150"/>
      <c r="O204" s="151"/>
      <c r="P204" s="151"/>
      <c r="Q204" s="153"/>
      <c r="R204" s="154"/>
      <c r="S204" s="154"/>
    </row>
    <row r="205" spans="1:20" ht="21" customHeight="1" x14ac:dyDescent="0.15">
      <c r="A205" s="139"/>
      <c r="B205" s="140"/>
      <c r="C205" s="185" t="str">
        <f>小6【S3】!$C$2</f>
        <v>小6　12月　【S3】　指導ユニット　モジュール（現学年・ステップ）配当計画</v>
      </c>
      <c r="D205" s="186"/>
      <c r="E205" s="186"/>
      <c r="F205" s="186"/>
      <c r="G205" s="187"/>
      <c r="H205" s="187"/>
      <c r="I205" s="187"/>
      <c r="J205" s="187"/>
      <c r="K205" s="187"/>
      <c r="L205" s="187"/>
      <c r="M205" s="188"/>
      <c r="N205" s="187"/>
      <c r="O205" s="139"/>
      <c r="P205" s="139"/>
      <c r="Q205" s="140"/>
      <c r="R205" s="139"/>
      <c r="S205" s="139"/>
    </row>
    <row r="206" spans="1:20" ht="21" customHeight="1" x14ac:dyDescent="0.15">
      <c r="A206" s="143" t="s">
        <v>191</v>
      </c>
      <c r="B206" s="189" t="s">
        <v>192</v>
      </c>
      <c r="C206" s="190"/>
      <c r="D206" s="191"/>
      <c r="E206" s="189" t="s">
        <v>193</v>
      </c>
      <c r="F206" s="190"/>
      <c r="G206" s="191"/>
      <c r="H206" s="189" t="s">
        <v>194</v>
      </c>
      <c r="I206" s="190"/>
      <c r="J206" s="191"/>
      <c r="K206" s="189" t="s">
        <v>195</v>
      </c>
      <c r="L206" s="190"/>
      <c r="M206" s="191"/>
      <c r="N206" s="189" t="s">
        <v>196</v>
      </c>
      <c r="O206" s="190"/>
      <c r="P206" s="191"/>
      <c r="Q206" s="189" t="s">
        <v>197</v>
      </c>
      <c r="R206" s="190"/>
      <c r="S206" s="191"/>
      <c r="T206" s="9"/>
    </row>
    <row r="207" spans="1:20" ht="21" customHeight="1" x14ac:dyDescent="0.15">
      <c r="A207" s="144">
        <f>小6【S3】!$A$4</f>
        <v>1</v>
      </c>
      <c r="B207" s="145" t="str">
        <f>小6【S3】!$B$4</f>
        <v>国　語</v>
      </c>
      <c r="C207" s="146" t="str">
        <f>小6【S3】!$C$4</f>
        <v>日本で使う文字</v>
      </c>
      <c r="D207" s="146" t="str">
        <f>小6【S3】!$D$4</f>
        <v>現</v>
      </c>
      <c r="E207" s="145" t="str">
        <f>小6【S3】!$E$4</f>
        <v>国　語</v>
      </c>
      <c r="F207" s="146" t="str">
        <f>小6【S3】!$F$4</f>
        <v>日本で使う文字</v>
      </c>
      <c r="G207" s="146" t="str">
        <f>小6【S3】!$G$4</f>
        <v>現</v>
      </c>
      <c r="H207" s="145" t="str">
        <f>小6【S3】!$H$4</f>
        <v>国　語</v>
      </c>
      <c r="I207" s="146" t="str">
        <f>小6【S3】!$I$4</f>
        <v>漢字の広場⑤</v>
      </c>
      <c r="J207" s="146" t="str">
        <f>小6【S3】!$J$4</f>
        <v>現</v>
      </c>
      <c r="K207" s="145" t="str">
        <f>小6【S3】!$K$4</f>
        <v>国　語</v>
      </c>
      <c r="L207" s="146" t="str">
        <f>小6【S3】!$L$4</f>
        <v>漢字の広場⑤</v>
      </c>
      <c r="M207" s="146" t="str">
        <f>小6【S3】!$M$4</f>
        <v>現</v>
      </c>
      <c r="N207" s="145" t="str">
        <f>小6【S3】!$N$4</f>
        <v>国　語</v>
      </c>
      <c r="O207" s="146" t="str">
        <f>小6【S3】!$O$4</f>
        <v>表現を選ぶ</v>
      </c>
      <c r="P207" s="146" t="str">
        <f>小6【S3】!$P$4</f>
        <v>現</v>
      </c>
      <c r="Q207" s="145" t="str">
        <f>小6【S3】!$B$9</f>
        <v>国　語</v>
      </c>
      <c r="R207" s="146" t="str">
        <f>小6【S3】!$C$9</f>
        <v>表現を選ぶ</v>
      </c>
      <c r="S207" s="146" t="str">
        <f>小6【S3】!$D$9</f>
        <v>現</v>
      </c>
      <c r="T207" s="9"/>
    </row>
    <row r="208" spans="1:20" ht="21" customHeight="1" x14ac:dyDescent="0.15">
      <c r="A208" s="147">
        <f>小6【S3】!$A$5</f>
        <v>2</v>
      </c>
      <c r="B208" s="148" t="str">
        <f>小6【S3】!$B$5</f>
        <v>算　数</v>
      </c>
      <c r="C208" s="149" t="str">
        <f>小6【S3】!$C$5</f>
        <v>場合を順序よく整理して</v>
      </c>
      <c r="D208" s="149" t="str">
        <f>小6【S3】!$D$5</f>
        <v>現</v>
      </c>
      <c r="E208" s="148" t="str">
        <f>小6【S3】!$E$5</f>
        <v>国　語</v>
      </c>
      <c r="F208" s="149" t="str">
        <f>小6【S3】!$F$5</f>
        <v>日本で使う文字</v>
      </c>
      <c r="G208" s="149" t="str">
        <f>小6【S3】!$G$5</f>
        <v>現</v>
      </c>
      <c r="H208" s="148" t="str">
        <f>小6【S3】!$H$5</f>
        <v>算　数</v>
      </c>
      <c r="I208" s="149" t="str">
        <f>小6【S3】!$I$5</f>
        <v>場合を順序よく整理して</v>
      </c>
      <c r="J208" s="149" t="str">
        <f>小6【S3】!$J$5</f>
        <v>現</v>
      </c>
      <c r="K208" s="148" t="str">
        <f>小6【S3】!$K$5</f>
        <v>算　数</v>
      </c>
      <c r="L208" s="149" t="str">
        <f>小6【S3】!$L$5</f>
        <v>場合を順序よく整理して</v>
      </c>
      <c r="M208" s="149" t="str">
        <f>小6【S3】!$M$5</f>
        <v>現</v>
      </c>
      <c r="N208" s="148" t="str">
        <f>小6【S3】!$N$5</f>
        <v>算　数</v>
      </c>
      <c r="O208" s="149" t="str">
        <f>小6【S3】!$O$5</f>
        <v>場合を順序よく整理して</v>
      </c>
      <c r="P208" s="149" t="str">
        <f>小6【S3】!$P$5</f>
        <v>現</v>
      </c>
      <c r="Q208" s="148" t="str">
        <f>小6【S3】!$B$10</f>
        <v>図　工</v>
      </c>
      <c r="R208" s="149" t="str">
        <f>小6【S3】!$C$10</f>
        <v>学習用具・教科用語</v>
      </c>
      <c r="S208" s="149" t="str">
        <f>小6【S3】!$D$10</f>
        <v>現</v>
      </c>
      <c r="T208" s="9"/>
    </row>
    <row r="209" spans="1:20" ht="21" customHeight="1" x14ac:dyDescent="0.15">
      <c r="A209" s="147">
        <f>小6【S3】!$A$6</f>
        <v>3</v>
      </c>
      <c r="B209" s="148" t="str">
        <f>小6【S3】!$B$6</f>
        <v>国　語</v>
      </c>
      <c r="C209" s="149" t="str">
        <f>小6【S3】!$C$6</f>
        <v>和語・漢語・外来語</v>
      </c>
      <c r="D209" s="149" t="str">
        <f>小6【S3】!$D$6</f>
        <v>ス</v>
      </c>
      <c r="E209" s="148" t="str">
        <f>小6【S3】!$E$6</f>
        <v>算　数</v>
      </c>
      <c r="F209" s="149" t="str">
        <f>小6【S3】!$F$6</f>
        <v>場合を順序よく整理して</v>
      </c>
      <c r="G209" s="149" t="str">
        <f>小6【S3】!$G$6</f>
        <v>現</v>
      </c>
      <c r="H209" s="148" t="str">
        <f>小6【S3】!$H$6</f>
        <v>理　科</v>
      </c>
      <c r="I209" s="149" t="str">
        <f>小6【S3】!$I$6</f>
        <v>てこのはたらき</v>
      </c>
      <c r="J209" s="149" t="str">
        <f>小6【S3】!$J$6</f>
        <v>現</v>
      </c>
      <c r="K209" s="148" t="str">
        <f>小6【S3】!$K$6</f>
        <v>日本語</v>
      </c>
      <c r="L209" s="149" t="str">
        <f>小6【S3】!$L$6</f>
        <v>日本の文化</v>
      </c>
      <c r="M209" s="149" t="str">
        <f>小6【S3】!$M$6</f>
        <v>ス</v>
      </c>
      <c r="N209" s="148" t="str">
        <f>小6【S3】!$N$6</f>
        <v>社　会</v>
      </c>
      <c r="O209" s="149" t="str">
        <f>小6【S3】!$O$6</f>
        <v>わたしたちの願いを実現する政治</v>
      </c>
      <c r="P209" s="149" t="str">
        <f>小6【S3】!$P$6</f>
        <v>現</v>
      </c>
      <c r="Q209" s="148" t="str">
        <f>小6【S3】!$B$11</f>
        <v>日本語</v>
      </c>
      <c r="R209" s="149" t="str">
        <f>小6【S3】!$C$11</f>
        <v>日本語能力試験</v>
      </c>
      <c r="S209" s="149" t="str">
        <f>小6【S3】!$D$11</f>
        <v>ス</v>
      </c>
      <c r="T209" s="9"/>
    </row>
    <row r="210" spans="1:20" ht="21" customHeight="1" x14ac:dyDescent="0.15">
      <c r="A210" s="147">
        <f>小6【S3】!$A$7</f>
        <v>4</v>
      </c>
      <c r="B210" s="148" t="str">
        <f>小6【S3】!$B$7</f>
        <v>社　会</v>
      </c>
      <c r="C210" s="149" t="str">
        <f>小6【S3】!$C$7</f>
        <v>学習用具・教科用語</v>
      </c>
      <c r="D210" s="149" t="str">
        <f>小6【S3】!$D$7</f>
        <v>ス</v>
      </c>
      <c r="E210" s="148" t="str">
        <f>小6【S3】!$E$7</f>
        <v>国　語</v>
      </c>
      <c r="F210" s="149" t="str">
        <f>小6【S3】!$F$7</f>
        <v>和語・漢語・外来語</v>
      </c>
      <c r="G210" s="149" t="str">
        <f>小6【S3】!$G$7</f>
        <v>ス</v>
      </c>
      <c r="H210" s="148" t="str">
        <f>小6【S3】!$H$7</f>
        <v>算　数</v>
      </c>
      <c r="I210" s="149" t="str">
        <f>小6【S3】!$I$7</f>
        <v>順々に調べて（小5）</v>
      </c>
      <c r="J210" s="149" t="str">
        <f>小6【S3】!$J$7</f>
        <v>ス</v>
      </c>
      <c r="K210" s="148" t="str">
        <f>小6【S3】!$K$7</f>
        <v>算　数</v>
      </c>
      <c r="L210" s="149" t="str">
        <f>小6【S3】!$L$7</f>
        <v>順々に調べて（小5）</v>
      </c>
      <c r="M210" s="149" t="str">
        <f>小6【S3】!$M$7</f>
        <v>ス</v>
      </c>
      <c r="N210" s="148" t="str">
        <f>小6【S3】!$N$7</f>
        <v>算　数</v>
      </c>
      <c r="O210" s="149" t="str">
        <f>小6【S3】!$O$7</f>
        <v>順々に調べて（小5）</v>
      </c>
      <c r="P210" s="149" t="str">
        <f>小6【S3】!$P$7</f>
        <v>ス</v>
      </c>
      <c r="Q210" s="148" t="str">
        <f>小6【S3】!$B$12</f>
        <v>理　科</v>
      </c>
      <c r="R210" s="149" t="str">
        <f>小6【S3】!$C$12</f>
        <v>学習用具・教科用語</v>
      </c>
      <c r="S210" s="149" t="str">
        <f>小6【S3】!$D$12</f>
        <v>ス</v>
      </c>
      <c r="T210" s="9"/>
    </row>
    <row r="211" spans="1:20" ht="21" customHeight="1" x14ac:dyDescent="0.15">
      <c r="A211" s="150"/>
      <c r="B211" s="189" t="s">
        <v>198</v>
      </c>
      <c r="C211" s="190"/>
      <c r="D211" s="191"/>
      <c r="E211" s="189" t="s">
        <v>199</v>
      </c>
      <c r="F211" s="190"/>
      <c r="G211" s="191"/>
      <c r="H211" s="189" t="s">
        <v>200</v>
      </c>
      <c r="I211" s="190"/>
      <c r="J211" s="191"/>
      <c r="K211" s="155"/>
      <c r="L211" s="154"/>
      <c r="M211" s="154"/>
      <c r="N211" s="153"/>
      <c r="O211" s="154"/>
      <c r="P211" s="154"/>
      <c r="Q211" s="153"/>
      <c r="R211" s="154"/>
      <c r="S211" s="154"/>
    </row>
    <row r="212" spans="1:20" ht="21" customHeight="1" x14ac:dyDescent="0.15">
      <c r="A212" s="144">
        <f>小6【S3】!$A$4</f>
        <v>1</v>
      </c>
      <c r="B212" s="145" t="str">
        <f>小6【S3】!$E$9</f>
        <v>国　語</v>
      </c>
      <c r="C212" s="146" t="str">
        <f>小6【S3】!$F$9</f>
        <v>表現を選ぶ</v>
      </c>
      <c r="D212" s="146" t="str">
        <f>小6【S3】!$G$9</f>
        <v>現</v>
      </c>
      <c r="E212" s="145" t="str">
        <f>小6【S3】!$H$9</f>
        <v>国　語</v>
      </c>
      <c r="F212" s="146" t="str">
        <f>小6【S3】!$I$9</f>
        <v>天地の文</v>
      </c>
      <c r="G212" s="146" t="str">
        <f>小6【S3】!$J$9</f>
        <v>現</v>
      </c>
      <c r="H212" s="145" t="str">
        <f>小6【S3】!$K$9</f>
        <v>国　語</v>
      </c>
      <c r="I212" s="146" t="str">
        <f>小6【S3】!$L$9</f>
        <v>天地の文</v>
      </c>
      <c r="J212" s="146" t="str">
        <f>小6【S3】!$M$9</f>
        <v>現</v>
      </c>
      <c r="K212" s="156"/>
      <c r="L212" s="139"/>
      <c r="M212" s="139"/>
      <c r="N212" s="140"/>
      <c r="O212" s="139"/>
      <c r="P212" s="139"/>
      <c r="Q212" s="140"/>
      <c r="R212" s="139"/>
      <c r="S212" s="139"/>
    </row>
    <row r="213" spans="1:20" ht="21" customHeight="1" x14ac:dyDescent="0.15">
      <c r="A213" s="147">
        <f>小6【S3】!$A$5</f>
        <v>2</v>
      </c>
      <c r="B213" s="148" t="str">
        <f>小6【S3】!$E$10</f>
        <v>国　語</v>
      </c>
      <c r="C213" s="149" t="str">
        <f>小6【S3】!$F$10</f>
        <v>天地の文</v>
      </c>
      <c r="D213" s="149" t="str">
        <f>小6【S3】!$G$10</f>
        <v>現</v>
      </c>
      <c r="E213" s="148" t="str">
        <f>小6【S3】!$H$10</f>
        <v>家庭科</v>
      </c>
      <c r="F213" s="149" t="str">
        <f>小6【S3】!$I$10</f>
        <v>学習用具・教科用語</v>
      </c>
      <c r="G213" s="149" t="str">
        <f>小6【S3】!$J$10</f>
        <v>現</v>
      </c>
      <c r="H213" s="148" t="str">
        <f>小6【S3】!$K$10</f>
        <v>理　科</v>
      </c>
      <c r="I213" s="149" t="str">
        <f>小6【S3】!$L$10</f>
        <v>てこのはたらき</v>
      </c>
      <c r="J213" s="149" t="str">
        <f>小6【S3】!$M$10</f>
        <v>現</v>
      </c>
      <c r="K213" s="156"/>
      <c r="L213" s="139"/>
      <c r="M213" s="139"/>
      <c r="N213" s="140"/>
      <c r="O213" s="139"/>
      <c r="P213" s="139"/>
      <c r="Q213" s="140"/>
      <c r="R213" s="139"/>
      <c r="S213" s="139"/>
    </row>
    <row r="214" spans="1:20" ht="21" customHeight="1" x14ac:dyDescent="0.15">
      <c r="A214" s="147">
        <f>小6【S3】!$A$6</f>
        <v>3</v>
      </c>
      <c r="B214" s="148" t="str">
        <f>小6【S3】!$E$11</f>
        <v>算　数</v>
      </c>
      <c r="C214" s="149" t="str">
        <f>小6【S3】!$F$11</f>
        <v>順々に調べて（小5）</v>
      </c>
      <c r="D214" s="149" t="str">
        <f>小6【S3】!$G$11</f>
        <v>ス</v>
      </c>
      <c r="E214" s="148" t="str">
        <f>小6【S3】!$H$11</f>
        <v>社　会</v>
      </c>
      <c r="F214" s="149" t="str">
        <f>小6【S3】!$I$11</f>
        <v>わたしたちの願いを実現する政治</v>
      </c>
      <c r="G214" s="149" t="str">
        <f>小6【S3】!$J$11</f>
        <v>現</v>
      </c>
      <c r="H214" s="148" t="str">
        <f>小6【S3】!$K$11</f>
        <v>体　育</v>
      </c>
      <c r="I214" s="149" t="str">
        <f>小6【S3】!$L$11</f>
        <v>学習用具・教科用語</v>
      </c>
      <c r="J214" s="149" t="str">
        <f>小6【S3】!$M$11</f>
        <v>ス</v>
      </c>
      <c r="K214" s="156"/>
      <c r="L214" s="139"/>
      <c r="M214" s="139"/>
      <c r="N214" s="140"/>
      <c r="O214" s="139"/>
      <c r="P214" s="139"/>
      <c r="Q214" s="140"/>
      <c r="R214" s="139"/>
      <c r="S214" s="139"/>
    </row>
    <row r="215" spans="1:20" ht="21" customHeight="1" x14ac:dyDescent="0.15">
      <c r="A215" s="147">
        <f>小6【S3】!$A$7</f>
        <v>4</v>
      </c>
      <c r="B215" s="148" t="str">
        <f>小6【S3】!$E$12</f>
        <v>日本語</v>
      </c>
      <c r="C215" s="149" t="str">
        <f>小6【S3】!$F$12</f>
        <v>語彙</v>
      </c>
      <c r="D215" s="149" t="str">
        <f>小6【S3】!$G$12</f>
        <v>ス</v>
      </c>
      <c r="E215" s="148" t="str">
        <f>小6【S3】!$H$12</f>
        <v>日本語</v>
      </c>
      <c r="F215" s="149" t="str">
        <f>小6【S3】!$I$12</f>
        <v>日本語能力試験</v>
      </c>
      <c r="G215" s="149" t="str">
        <f>小6【S3】!$J$12</f>
        <v>ス</v>
      </c>
      <c r="H215" s="148" t="str">
        <f>小6【S3】!$K$12</f>
        <v>日本語</v>
      </c>
      <c r="I215" s="149" t="str">
        <f>小6【S3】!$L$12</f>
        <v>語彙</v>
      </c>
      <c r="J215" s="149" t="str">
        <f>小6【S3】!$M$12</f>
        <v>ス</v>
      </c>
      <c r="K215" s="156"/>
      <c r="L215" s="139"/>
      <c r="M215" s="139"/>
      <c r="N215" s="140"/>
      <c r="O215" s="139"/>
      <c r="P215" s="139"/>
      <c r="Q215" s="140"/>
      <c r="R215" s="139"/>
      <c r="S215" s="139"/>
    </row>
    <row r="216" spans="1:20" ht="21" customHeight="1" x14ac:dyDescent="0.15">
      <c r="A216" s="154"/>
      <c r="B216" s="153"/>
      <c r="C216" s="154"/>
      <c r="D216" s="154"/>
      <c r="E216" s="153"/>
      <c r="F216" s="154"/>
      <c r="G216" s="154"/>
      <c r="H216" s="153"/>
      <c r="I216" s="157"/>
      <c r="J216" s="157"/>
      <c r="K216" s="140"/>
      <c r="L216" s="139"/>
      <c r="M216" s="139"/>
      <c r="N216" s="140"/>
      <c r="O216" s="139"/>
      <c r="P216" s="139"/>
      <c r="Q216" s="140"/>
      <c r="R216" s="139"/>
      <c r="S216" s="139"/>
    </row>
    <row r="217" spans="1:20" ht="21" customHeight="1" x14ac:dyDescent="0.15">
      <c r="A217" s="139"/>
      <c r="B217" s="140"/>
      <c r="C217" s="185" t="str">
        <f>小6【S4】!$C$2</f>
        <v>小6　12月　【S4】　指導ユニット　モジュール（現学年・ステップ）配当計画</v>
      </c>
      <c r="D217" s="186"/>
      <c r="E217" s="186"/>
      <c r="F217" s="186"/>
      <c r="G217" s="187"/>
      <c r="H217" s="187"/>
      <c r="I217" s="187"/>
      <c r="J217" s="187"/>
      <c r="K217" s="187"/>
      <c r="L217" s="187"/>
      <c r="M217" s="188"/>
      <c r="N217" s="187"/>
      <c r="O217" s="139"/>
      <c r="P217" s="139"/>
      <c r="Q217" s="140"/>
      <c r="R217" s="139"/>
      <c r="S217" s="139"/>
    </row>
    <row r="218" spans="1:20" ht="21" customHeight="1" x14ac:dyDescent="0.15">
      <c r="A218" s="143" t="s">
        <v>191</v>
      </c>
      <c r="B218" s="189" t="s">
        <v>192</v>
      </c>
      <c r="C218" s="190"/>
      <c r="D218" s="191"/>
      <c r="E218" s="189" t="s">
        <v>193</v>
      </c>
      <c r="F218" s="190"/>
      <c r="G218" s="191"/>
      <c r="H218" s="189" t="s">
        <v>194</v>
      </c>
      <c r="I218" s="190"/>
      <c r="J218" s="191"/>
      <c r="K218" s="189" t="s">
        <v>195</v>
      </c>
      <c r="L218" s="190"/>
      <c r="M218" s="191"/>
      <c r="N218" s="189" t="s">
        <v>196</v>
      </c>
      <c r="O218" s="190"/>
      <c r="P218" s="191"/>
      <c r="Q218" s="189" t="s">
        <v>197</v>
      </c>
      <c r="R218" s="190"/>
      <c r="S218" s="191"/>
      <c r="T218" s="9"/>
    </row>
    <row r="219" spans="1:20" ht="21" customHeight="1" x14ac:dyDescent="0.15">
      <c r="A219" s="144">
        <f>小6【S4】!$A$4</f>
        <v>1</v>
      </c>
      <c r="B219" s="145" t="str">
        <f>小6【S4】!$B$4</f>
        <v>国　語</v>
      </c>
      <c r="C219" s="146" t="str">
        <f>小6【S4】!$C$4</f>
        <v>日本で使う文字</v>
      </c>
      <c r="D219" s="146" t="str">
        <f>小6【S4】!$D$4</f>
        <v>現</v>
      </c>
      <c r="E219" s="145" t="str">
        <f>小6【S4】!$E$4</f>
        <v>国　語</v>
      </c>
      <c r="F219" s="146" t="str">
        <f>小6【S4】!$F$4</f>
        <v>漢字の広場⑤</v>
      </c>
      <c r="G219" s="146" t="str">
        <f>小6【S4】!$G$4</f>
        <v>現</v>
      </c>
      <c r="H219" s="145" t="str">
        <f>小6【S4】!$H$4</f>
        <v>国　語</v>
      </c>
      <c r="I219" s="146" t="str">
        <f>小6【S4】!$I$4</f>
        <v>漢字の広場⑤</v>
      </c>
      <c r="J219" s="146" t="str">
        <f>小6【S4】!$J$4</f>
        <v>現</v>
      </c>
      <c r="K219" s="145" t="str">
        <f>小6【S4】!$K$4</f>
        <v>国　語</v>
      </c>
      <c r="L219" s="146" t="str">
        <f>小6【S4】!$L$4</f>
        <v>表現を選ぶ</v>
      </c>
      <c r="M219" s="146" t="str">
        <f>小6【S4】!$M$4</f>
        <v>現</v>
      </c>
      <c r="N219" s="145" t="str">
        <f>小6【S4】!$N$4</f>
        <v>国　語</v>
      </c>
      <c r="O219" s="146" t="str">
        <f>小6【S4】!$O$4</f>
        <v>天地の文</v>
      </c>
      <c r="P219" s="146" t="str">
        <f>小6【S4】!$P$4</f>
        <v>現</v>
      </c>
      <c r="Q219" s="145" t="str">
        <f>小6【S4】!$B$9</f>
        <v>国　語</v>
      </c>
      <c r="R219" s="146" t="str">
        <f>小6【S4】!$C$9</f>
        <v>天地の文</v>
      </c>
      <c r="S219" s="146" t="str">
        <f>小6【S4】!$D$9</f>
        <v>現</v>
      </c>
      <c r="T219" s="9"/>
    </row>
    <row r="220" spans="1:20" ht="21" customHeight="1" x14ac:dyDescent="0.15">
      <c r="A220" s="147">
        <f>小6【S4】!$A$5</f>
        <v>2</v>
      </c>
      <c r="B220" s="148" t="str">
        <f>小6【S4】!$B$5</f>
        <v>国　語</v>
      </c>
      <c r="C220" s="149" t="str">
        <f>小6【S4】!$C$5</f>
        <v>日本で使う文字</v>
      </c>
      <c r="D220" s="149" t="str">
        <f>小6【S4】!$D$5</f>
        <v>現</v>
      </c>
      <c r="E220" s="148" t="str">
        <f>小6【S4】!$E$5</f>
        <v>算　数</v>
      </c>
      <c r="F220" s="149" t="str">
        <f>小6【S4】!$F$5</f>
        <v>場合を順序よく整理して</v>
      </c>
      <c r="G220" s="149" t="str">
        <f>小6【S4】!$G$5</f>
        <v>現</v>
      </c>
      <c r="H220" s="148" t="str">
        <f>小6【S4】!$H$5</f>
        <v>算　数</v>
      </c>
      <c r="I220" s="149" t="str">
        <f>小6【S4】!$I$5</f>
        <v>場合を順序よく整理して</v>
      </c>
      <c r="J220" s="149" t="str">
        <f>小6【S4】!$J$5</f>
        <v>現</v>
      </c>
      <c r="K220" s="148" t="str">
        <f>小6【S4】!$K$5</f>
        <v>算　数</v>
      </c>
      <c r="L220" s="149" t="str">
        <f>小6【S4】!$L$5</f>
        <v>場合を順序よく整理して</v>
      </c>
      <c r="M220" s="149" t="str">
        <f>小6【S4】!$M$5</f>
        <v>現</v>
      </c>
      <c r="N220" s="148" t="str">
        <f>小6【S4】!$N$5</f>
        <v>算　数</v>
      </c>
      <c r="O220" s="149" t="str">
        <f>小6【S4】!$O$5</f>
        <v>場合を順序よく整理して</v>
      </c>
      <c r="P220" s="149" t="str">
        <f>小6【S4】!$P$5</f>
        <v>現</v>
      </c>
      <c r="Q220" s="148" t="str">
        <f>小6【S4】!$B$10</f>
        <v>家庭科</v>
      </c>
      <c r="R220" s="149" t="str">
        <f>小6【S4】!$C$10</f>
        <v>学習用具・教科用語</v>
      </c>
      <c r="S220" s="149" t="str">
        <f>小6【S4】!$D$10</f>
        <v>現</v>
      </c>
      <c r="T220" s="9"/>
    </row>
    <row r="221" spans="1:20" ht="21" customHeight="1" x14ac:dyDescent="0.15">
      <c r="A221" s="147">
        <f>小6【S4】!$A$6</f>
        <v>3</v>
      </c>
      <c r="B221" s="148" t="str">
        <f>小6【S4】!$B$6</f>
        <v>算　数</v>
      </c>
      <c r="C221" s="149" t="str">
        <f>小6【S4】!$C$6</f>
        <v>場合を順序よく整理して</v>
      </c>
      <c r="D221" s="149" t="str">
        <f>小6【S4】!$D$6</f>
        <v>現</v>
      </c>
      <c r="E221" s="148" t="str">
        <f>小6【S4】!$E$6</f>
        <v>社　会</v>
      </c>
      <c r="F221" s="149" t="str">
        <f>小6【S4】!$F$6</f>
        <v>わたしたちの願いを実現する政治</v>
      </c>
      <c r="G221" s="149" t="str">
        <f>小6【S4】!$G$6</f>
        <v>現</v>
      </c>
      <c r="H221" s="148" t="str">
        <f>小6【S4】!$H$6</f>
        <v>理　科</v>
      </c>
      <c r="I221" s="149" t="str">
        <f>小6【S4】!$I$6</f>
        <v>てこのはたらき</v>
      </c>
      <c r="J221" s="149" t="str">
        <f>小6【S4】!$J$6</f>
        <v>現</v>
      </c>
      <c r="K221" s="148" t="str">
        <f>小6【S4】!$K$6</f>
        <v>理　科</v>
      </c>
      <c r="L221" s="149" t="str">
        <f>小6【S4】!$L$6</f>
        <v>てこのはたらき</v>
      </c>
      <c r="M221" s="149" t="str">
        <f>小6【S4】!$M$6</f>
        <v>現</v>
      </c>
      <c r="N221" s="148" t="str">
        <f>小6【S4】!$N$6</f>
        <v>社　会</v>
      </c>
      <c r="O221" s="149" t="str">
        <f>小6【S4】!$O$6</f>
        <v>わたしたちの願いを実現する政治</v>
      </c>
      <c r="P221" s="149" t="str">
        <f>小6【S4】!$P$6</f>
        <v>現</v>
      </c>
      <c r="Q221" s="148" t="str">
        <f>小6【S4】!$B$11</f>
        <v>社　会</v>
      </c>
      <c r="R221" s="149" t="str">
        <f>小6【S4】!$C$11</f>
        <v>学習用具・教科用語</v>
      </c>
      <c r="S221" s="149" t="str">
        <f>小6【S4】!$D$11</f>
        <v>現</v>
      </c>
      <c r="T221" s="9"/>
    </row>
    <row r="222" spans="1:20" ht="21" customHeight="1" x14ac:dyDescent="0.15">
      <c r="A222" s="147">
        <f>小6【S4】!$A$7</f>
        <v>4</v>
      </c>
      <c r="B222" s="148" t="str">
        <f>小6【S4】!$B$7</f>
        <v>体　育</v>
      </c>
      <c r="C222" s="149" t="str">
        <f>小6【S4】!$C$7</f>
        <v>学習用具・教科用語</v>
      </c>
      <c r="D222" s="149" t="str">
        <f>小6【S4】!$D$7</f>
        <v>ス</v>
      </c>
      <c r="E222" s="148" t="str">
        <f>小6【S4】!$E$7</f>
        <v>日本語</v>
      </c>
      <c r="F222" s="149" t="str">
        <f>小6【S4】!$F$7</f>
        <v>日本語能力試験</v>
      </c>
      <c r="G222" s="149" t="str">
        <f>小6【S4】!$G$7</f>
        <v>ス</v>
      </c>
      <c r="H222" s="148" t="str">
        <f>小6【S4】!$H$7</f>
        <v>算　数</v>
      </c>
      <c r="I222" s="149" t="str">
        <f>小6【S4】!$I$7</f>
        <v>順々に調べて（小5）</v>
      </c>
      <c r="J222" s="149" t="str">
        <f>小6【S4】!$J$7</f>
        <v>ス</v>
      </c>
      <c r="K222" s="148" t="str">
        <f>小6【S4】!$K$7</f>
        <v>日本語</v>
      </c>
      <c r="L222" s="149" t="str">
        <f>小6【S4】!$L$7</f>
        <v>日本の文化</v>
      </c>
      <c r="M222" s="149" t="str">
        <f>小6【S4】!$M$7</f>
        <v>ス</v>
      </c>
      <c r="N222" s="148" t="str">
        <f>小6【S4】!$N$7</f>
        <v>図　工</v>
      </c>
      <c r="O222" s="149" t="str">
        <f>小6【S4】!$O$7</f>
        <v>学習用具・教科用語</v>
      </c>
      <c r="P222" s="149" t="str">
        <f>小6【S4】!$P$7</f>
        <v>ス</v>
      </c>
      <c r="Q222" s="148" t="str">
        <f>小6【S4】!$B$12</f>
        <v>理　科</v>
      </c>
      <c r="R222" s="149" t="str">
        <f>小6【S4】!$C$12</f>
        <v>学習用具・教科用語</v>
      </c>
      <c r="S222" s="149" t="str">
        <f>小6【S4】!$D$12</f>
        <v>ス</v>
      </c>
      <c r="T222" s="9"/>
    </row>
    <row r="223" spans="1:20" ht="21" customHeight="1" x14ac:dyDescent="0.15">
      <c r="A223" s="154"/>
      <c r="B223" s="153"/>
      <c r="C223" s="154"/>
      <c r="D223" s="154"/>
      <c r="E223" s="153"/>
      <c r="F223" s="154"/>
      <c r="G223" s="154"/>
      <c r="H223" s="153"/>
      <c r="I223" s="157"/>
      <c r="J223" s="157"/>
      <c r="K223" s="153"/>
      <c r="L223" s="154"/>
      <c r="M223" s="154"/>
      <c r="N223" s="153"/>
      <c r="O223" s="154"/>
      <c r="P223" s="154"/>
      <c r="Q223" s="153"/>
      <c r="R223" s="154"/>
      <c r="S223" s="154"/>
    </row>
    <row r="224" spans="1:20" ht="21" customHeight="1" x14ac:dyDescent="0.15">
      <c r="A224" s="139"/>
      <c r="B224" s="140"/>
      <c r="C224" s="139"/>
      <c r="D224" s="139"/>
      <c r="E224" s="140"/>
      <c r="F224" s="139"/>
      <c r="G224" s="139"/>
      <c r="H224" s="140"/>
      <c r="I224" s="158"/>
      <c r="J224" s="158"/>
      <c r="K224" s="140"/>
      <c r="L224" s="139"/>
      <c r="M224" s="139"/>
      <c r="N224" s="140"/>
      <c r="O224" s="139"/>
      <c r="P224" s="139"/>
      <c r="Q224" s="140"/>
      <c r="R224" s="139"/>
      <c r="S224" s="139"/>
    </row>
    <row r="225" spans="1:20" ht="21" customHeight="1" x14ac:dyDescent="0.15">
      <c r="A225" s="139"/>
      <c r="B225" s="141"/>
      <c r="C225" s="185" t="str">
        <f>中1【S2】!$C$2</f>
        <v>中1　12月　【S2】　指導ユニット　モジュール（現学年・ステップ）配当計画</v>
      </c>
      <c r="D225" s="186"/>
      <c r="E225" s="186"/>
      <c r="F225" s="186"/>
      <c r="G225" s="187"/>
      <c r="H225" s="187"/>
      <c r="I225" s="187"/>
      <c r="J225" s="187"/>
      <c r="K225" s="187"/>
      <c r="L225" s="187"/>
      <c r="M225" s="188"/>
      <c r="N225" s="187"/>
      <c r="O225" s="139"/>
      <c r="P225" s="142"/>
      <c r="Q225" s="140"/>
      <c r="R225" s="139"/>
      <c r="S225" s="139"/>
    </row>
    <row r="226" spans="1:20" ht="21" customHeight="1" x14ac:dyDescent="0.15">
      <c r="A226" s="143" t="s">
        <v>191</v>
      </c>
      <c r="B226" s="189" t="s">
        <v>192</v>
      </c>
      <c r="C226" s="190"/>
      <c r="D226" s="191"/>
      <c r="E226" s="189" t="s">
        <v>193</v>
      </c>
      <c r="F226" s="190"/>
      <c r="G226" s="191"/>
      <c r="H226" s="189" t="s">
        <v>194</v>
      </c>
      <c r="I226" s="190"/>
      <c r="J226" s="191"/>
      <c r="K226" s="189" t="s">
        <v>195</v>
      </c>
      <c r="L226" s="190"/>
      <c r="M226" s="191"/>
      <c r="N226" s="189" t="s">
        <v>196</v>
      </c>
      <c r="O226" s="190"/>
      <c r="P226" s="191"/>
      <c r="Q226" s="189" t="s">
        <v>197</v>
      </c>
      <c r="R226" s="190"/>
      <c r="S226" s="191"/>
      <c r="T226" s="9"/>
    </row>
    <row r="227" spans="1:20" ht="21" customHeight="1" x14ac:dyDescent="0.15">
      <c r="A227" s="144">
        <f>中1【S2】!$A$4</f>
        <v>1</v>
      </c>
      <c r="B227" s="145" t="str">
        <f>中1【S2】!$B$4</f>
        <v>国　語</v>
      </c>
      <c r="C227" s="146" t="str">
        <f>中1【S2】!$C$4</f>
        <v>感じたことを整理する</v>
      </c>
      <c r="D227" s="146" t="str">
        <f>中1【S2】!$D$4</f>
        <v>現</v>
      </c>
      <c r="E227" s="145" t="str">
        <f>中1【S2】!$E$4</f>
        <v>国　語</v>
      </c>
      <c r="F227" s="146" t="str">
        <f>中1【S2】!$F$4</f>
        <v>感じたことを整理する</v>
      </c>
      <c r="G227" s="146" t="str">
        <f>中1【S2】!$G$4</f>
        <v>現</v>
      </c>
      <c r="H227" s="145" t="str">
        <f>中1【S2】!$H$4</f>
        <v>国　語</v>
      </c>
      <c r="I227" s="146" t="str">
        <f>中1【S2】!$I$4</f>
        <v>鑑賞文を書く</v>
      </c>
      <c r="J227" s="146" t="str">
        <f>中1【S2】!$J$4</f>
        <v>現</v>
      </c>
      <c r="K227" s="145" t="str">
        <f>中1【S2】!$K$4</f>
        <v>国　語</v>
      </c>
      <c r="L227" s="146" t="str">
        <f>中1【S2】!$L$4</f>
        <v>鑑賞文を書く</v>
      </c>
      <c r="M227" s="146" t="str">
        <f>中1【S2】!$M$4</f>
        <v>現</v>
      </c>
      <c r="N227" s="145" t="str">
        <f>中1【S2】!$N$4</f>
        <v>数　学</v>
      </c>
      <c r="O227" s="146" t="str">
        <f>中1【S2】!$O$4</f>
        <v>竹</v>
      </c>
      <c r="P227" s="146" t="str">
        <f>中1【S2】!$P$4</f>
        <v>現</v>
      </c>
      <c r="Q227" s="145" t="str">
        <f>中1【S2】!$B$9</f>
        <v>国　語</v>
      </c>
      <c r="R227" s="146" t="str">
        <f>中1【S2】!$C$9</f>
        <v>竹</v>
      </c>
      <c r="S227" s="146" t="str">
        <f>中1【S2】!$D$9</f>
        <v>現</v>
      </c>
      <c r="T227" s="9"/>
    </row>
    <row r="228" spans="1:20" ht="21" customHeight="1" x14ac:dyDescent="0.15">
      <c r="A228" s="147">
        <f>中1【S2】!$A$5</f>
        <v>2</v>
      </c>
      <c r="B228" s="148" t="str">
        <f>中1【S2】!$B$5</f>
        <v>数　学</v>
      </c>
      <c r="C228" s="149" t="str">
        <f>中1【S2】!$C$5</f>
        <v>平面図形 基本の作図</v>
      </c>
      <c r="D228" s="149" t="str">
        <f>中1【S2】!$D$5</f>
        <v>現</v>
      </c>
      <c r="E228" s="148" t="str">
        <f>中1【S2】!$E$5</f>
        <v>社　会</v>
      </c>
      <c r="F228" s="149" t="str">
        <f>中1【S2】!$F$5</f>
        <v>北アメリカ州</v>
      </c>
      <c r="G228" s="149" t="str">
        <f>中1【S2】!$G$5</f>
        <v>現</v>
      </c>
      <c r="H228" s="148" t="str">
        <f>中1【S2】!$H$5</f>
        <v>数　学</v>
      </c>
      <c r="I228" s="149" t="str">
        <f>中1【S2】!$I$5</f>
        <v>平面図形 基本の作図</v>
      </c>
      <c r="J228" s="149" t="str">
        <f>中1【S2】!$J$5</f>
        <v>現</v>
      </c>
      <c r="K228" s="148" t="str">
        <f>中1【S2】!$K$5</f>
        <v>社　会</v>
      </c>
      <c r="L228" s="149" t="str">
        <f>中1【S2】!$L$5</f>
        <v>南アメリカ州</v>
      </c>
      <c r="M228" s="149" t="str">
        <f>中1【S2】!$M$5</f>
        <v>現</v>
      </c>
      <c r="N228" s="148" t="str">
        <f>中1【S2】!$N$5</f>
        <v>理　科</v>
      </c>
      <c r="O228" s="149" t="str">
        <f>中1【S2】!$O$5</f>
        <v>力と圧力</v>
      </c>
      <c r="P228" s="149" t="str">
        <f>中1【S2】!$P$5</f>
        <v>現</v>
      </c>
      <c r="Q228" s="148" t="str">
        <f>中1【S2】!$B$10</f>
        <v>国　語</v>
      </c>
      <c r="R228" s="149" t="str">
        <f>中1【S2】!$C$10</f>
        <v>単文・複文・重文（小5）</v>
      </c>
      <c r="S228" s="149" t="str">
        <f>中1【S2】!$D$10</f>
        <v>ス</v>
      </c>
      <c r="T228" s="9"/>
    </row>
    <row r="229" spans="1:20" ht="21" customHeight="1" x14ac:dyDescent="0.15">
      <c r="A229" s="147">
        <f>中1【S2】!$A$6</f>
        <v>3</v>
      </c>
      <c r="B229" s="148" t="str">
        <f>中1【S2】!$B$6</f>
        <v>社　会</v>
      </c>
      <c r="C229" s="149" t="str">
        <f>中1【S2】!$C$6</f>
        <v>学習用具・教科用語</v>
      </c>
      <c r="D229" s="149" t="str">
        <f>中1【S2】!$D$6</f>
        <v>ス</v>
      </c>
      <c r="E229" s="148" t="str">
        <f>中1【S2】!$E$6</f>
        <v>日本語</v>
      </c>
      <c r="F229" s="149" t="str">
        <f>中1【S2】!$F$6</f>
        <v>日本の文化</v>
      </c>
      <c r="G229" s="149" t="str">
        <f>中1【S2】!$G$6</f>
        <v>ス</v>
      </c>
      <c r="H229" s="148" t="str">
        <f>中1【S2】!$H$6</f>
        <v>社　会</v>
      </c>
      <c r="I229" s="149" t="str">
        <f>中1【S2】!$I$6</f>
        <v>学習用具・教科用語</v>
      </c>
      <c r="J229" s="149" t="str">
        <f>中1【S2】!$J$6</f>
        <v>ス</v>
      </c>
      <c r="K229" s="148" t="str">
        <f>中1【S2】!$K$6</f>
        <v>日本語</v>
      </c>
      <c r="L229" s="149" t="str">
        <f>中1【S2】!$L$6</f>
        <v>語彙</v>
      </c>
      <c r="M229" s="149" t="str">
        <f>中1【S2】!$M$6</f>
        <v>ス</v>
      </c>
      <c r="N229" s="148" t="str">
        <f>中1【S2】!$N$6</f>
        <v>日本語</v>
      </c>
      <c r="O229" s="149" t="str">
        <f>中1【S2】!$O$6</f>
        <v>家庭生活</v>
      </c>
      <c r="P229" s="149" t="str">
        <f>中1【S2】!$P$6</f>
        <v>ス</v>
      </c>
      <c r="Q229" s="148" t="str">
        <f>中1【S2】!$B$11</f>
        <v>日本語</v>
      </c>
      <c r="R229" s="149" t="str">
        <f>中1【S2】!$C$11</f>
        <v>日本語能力試験</v>
      </c>
      <c r="S229" s="149" t="str">
        <f>中1【S2】!$D$11</f>
        <v>ス</v>
      </c>
      <c r="T229" s="9"/>
    </row>
    <row r="230" spans="1:20" ht="21" customHeight="1" x14ac:dyDescent="0.15">
      <c r="A230" s="147">
        <f>中1【S2】!$A$7</f>
        <v>4</v>
      </c>
      <c r="B230" s="148" t="str">
        <f>中1【S2】!$B$7</f>
        <v>算　数</v>
      </c>
      <c r="C230" s="149" t="str">
        <f>中1【S2】!$C$7</f>
        <v>三角形と四角形（小2）</v>
      </c>
      <c r="D230" s="149" t="str">
        <f>中1【S2】!$D$7</f>
        <v>ス</v>
      </c>
      <c r="E230" s="148" t="str">
        <f>中1【S2】!$E$7</f>
        <v>算　数</v>
      </c>
      <c r="F230" s="149" t="str">
        <f>中1【S2】!$F$7</f>
        <v>三角形と四角形（小2）</v>
      </c>
      <c r="G230" s="149" t="str">
        <f>中1【S2】!$G$7</f>
        <v>ス</v>
      </c>
      <c r="H230" s="148" t="str">
        <f>中1【S2】!$H$7</f>
        <v>日本語</v>
      </c>
      <c r="I230" s="149" t="str">
        <f>中1【S2】!$I$7</f>
        <v>語彙</v>
      </c>
      <c r="J230" s="149" t="str">
        <f>中1【S2】!$J$7</f>
        <v>ス</v>
      </c>
      <c r="K230" s="148" t="str">
        <f>中1【S2】!$K$7</f>
        <v>算　数</v>
      </c>
      <c r="L230" s="149" t="str">
        <f>中1【S2】!$L$7</f>
        <v>円と球（小3）</v>
      </c>
      <c r="M230" s="149" t="str">
        <f>中1【S2】!$M$7</f>
        <v>ス</v>
      </c>
      <c r="N230" s="148" t="str">
        <f>中1【S2】!$N$7</f>
        <v>日本語</v>
      </c>
      <c r="O230" s="149" t="str">
        <f>中1【S2】!$O$7</f>
        <v>家庭生活</v>
      </c>
      <c r="P230" s="149" t="str">
        <f>中1【S2】!$P$7</f>
        <v>ス</v>
      </c>
      <c r="Q230" s="148" t="str">
        <f>中1【S2】!$B$12</f>
        <v>音　楽</v>
      </c>
      <c r="R230" s="149" t="str">
        <f>中1【S2】!$C$12</f>
        <v>学習用具・教科用語</v>
      </c>
      <c r="S230" s="149" t="str">
        <f>中1【S2】!$D$12</f>
        <v>ス</v>
      </c>
      <c r="T230" s="9"/>
    </row>
    <row r="231" spans="1:20" ht="21" customHeight="1" x14ac:dyDescent="0.15">
      <c r="A231" s="150"/>
      <c r="B231" s="189" t="s">
        <v>198</v>
      </c>
      <c r="C231" s="190"/>
      <c r="D231" s="191"/>
      <c r="E231" s="189" t="s">
        <v>199</v>
      </c>
      <c r="F231" s="190"/>
      <c r="G231" s="191"/>
      <c r="H231" s="189" t="s">
        <v>200</v>
      </c>
      <c r="I231" s="190"/>
      <c r="J231" s="191"/>
      <c r="K231" s="189" t="s">
        <v>201</v>
      </c>
      <c r="L231" s="190"/>
      <c r="M231" s="191"/>
      <c r="N231" s="189" t="s">
        <v>202</v>
      </c>
      <c r="O231" s="190"/>
      <c r="P231" s="191"/>
      <c r="Q231" s="189" t="s">
        <v>203</v>
      </c>
      <c r="R231" s="190"/>
      <c r="S231" s="191"/>
      <c r="T231" s="9"/>
    </row>
    <row r="232" spans="1:20" ht="21" customHeight="1" x14ac:dyDescent="0.15">
      <c r="A232" s="144">
        <f>中1【S2】!$A$4</f>
        <v>1</v>
      </c>
      <c r="B232" s="145" t="str">
        <f>中1【S2】!$E$9</f>
        <v>国　語</v>
      </c>
      <c r="C232" s="146" t="str">
        <f>中1【S2】!$F$9</f>
        <v>言葉の関係を考えよう</v>
      </c>
      <c r="D232" s="146" t="str">
        <f>中1【S2】!$G$9</f>
        <v>現</v>
      </c>
      <c r="E232" s="145" t="str">
        <f>中1【S2】!$H$9</f>
        <v>国　語</v>
      </c>
      <c r="F232" s="146" t="str">
        <f>中1【S2】!$I$9</f>
        <v>言葉の関係を考えよう</v>
      </c>
      <c r="G232" s="146" t="str">
        <f>中1【S2】!$J$9</f>
        <v>現</v>
      </c>
      <c r="H232" s="145" t="str">
        <f>中1【S2】!$K$9</f>
        <v>数　学</v>
      </c>
      <c r="I232" s="146" t="str">
        <f>中1【S2】!$L$9</f>
        <v>円とおうぎ形</v>
      </c>
      <c r="J232" s="146" t="str">
        <f>中1【S2】!$M$9</f>
        <v>現</v>
      </c>
      <c r="K232" s="145" t="str">
        <f>中1【S2】!$N$9</f>
        <v>国　語</v>
      </c>
      <c r="L232" s="146" t="str">
        <f>中1【S2】!$O$9</f>
        <v>桜守三代</v>
      </c>
      <c r="M232" s="146" t="str">
        <f>中1【S2】!$P$9</f>
        <v>現</v>
      </c>
      <c r="N232" s="145" t="str">
        <f>中1【S2】!$B$14</f>
        <v>国　語</v>
      </c>
      <c r="O232" s="146" t="str">
        <f>中1【S2】!$C$14</f>
        <v>本の世界を広げよう</v>
      </c>
      <c r="P232" s="146" t="str">
        <f>中1【S2】!$D$14</f>
        <v>現</v>
      </c>
      <c r="Q232" s="145" t="str">
        <f>中1【S2】!$E$14</f>
        <v>国　語</v>
      </c>
      <c r="R232" s="146" t="str">
        <f>中1【S2】!$F$14</f>
        <v>季節のしおり　冬</v>
      </c>
      <c r="S232" s="146" t="str">
        <f>中1【S2】!$G$14</f>
        <v>現</v>
      </c>
      <c r="T232" s="9"/>
    </row>
    <row r="233" spans="1:20" ht="21" customHeight="1" x14ac:dyDescent="0.15">
      <c r="A233" s="147">
        <f>中1【S2】!$A$5</f>
        <v>2</v>
      </c>
      <c r="B233" s="148" t="str">
        <f>中1【S2】!$E$10</f>
        <v>数　学</v>
      </c>
      <c r="C233" s="149" t="str">
        <f>中1【S2】!$F$10</f>
        <v>円とおうぎ形</v>
      </c>
      <c r="D233" s="149" t="str">
        <f>中1【S2】!$G$10</f>
        <v>現</v>
      </c>
      <c r="E233" s="148" t="str">
        <f>中1【S2】!$H$10</f>
        <v>理　科</v>
      </c>
      <c r="F233" s="149" t="str">
        <f>中1【S2】!$I$10</f>
        <v>力と圧力</v>
      </c>
      <c r="G233" s="149" t="str">
        <f>中1【S2】!$J$10</f>
        <v>現</v>
      </c>
      <c r="H233" s="148" t="str">
        <f>中1【S2】!$K$10</f>
        <v>国　語</v>
      </c>
      <c r="I233" s="149" t="str">
        <f>中1【S2】!$L$10</f>
        <v>桜守三代</v>
      </c>
      <c r="J233" s="149" t="str">
        <f>中1【S2】!$M$10</f>
        <v>現</v>
      </c>
      <c r="K233" s="148" t="str">
        <f>中1【S2】!$N$10</f>
        <v>家庭科</v>
      </c>
      <c r="L233" s="149" t="str">
        <f>中1【S2】!$O$10</f>
        <v>学習用具・教科用語</v>
      </c>
      <c r="M233" s="149" t="str">
        <f>中1【S2】!$P$10</f>
        <v>現</v>
      </c>
      <c r="N233" s="148" t="str">
        <f>中1【S2】!$B$15</f>
        <v>日本語</v>
      </c>
      <c r="O233" s="149" t="str">
        <f>中1【S2】!$C$15</f>
        <v>家庭生活</v>
      </c>
      <c r="P233" s="149" t="str">
        <f>中1【S2】!$D$15</f>
        <v>ス</v>
      </c>
      <c r="Q233" s="148" t="str">
        <f>中1【S2】!$E$15</f>
        <v>算　数</v>
      </c>
      <c r="R233" s="149" t="str">
        <f>中1【S2】!$F$15</f>
        <v>円と正多角形（小5）</v>
      </c>
      <c r="S233" s="149" t="str">
        <f>中1【S2】!$G$15</f>
        <v>ス</v>
      </c>
      <c r="T233" s="9"/>
    </row>
    <row r="234" spans="1:20" ht="21" customHeight="1" x14ac:dyDescent="0.15">
      <c r="A234" s="147">
        <f>中1【S2】!$A$6</f>
        <v>3</v>
      </c>
      <c r="B234" s="148" t="str">
        <f>中1【S2】!$E$11</f>
        <v>国　語</v>
      </c>
      <c r="C234" s="149" t="str">
        <f>中1【S2】!$F$11</f>
        <v>文・文節（小4）</v>
      </c>
      <c r="D234" s="149" t="str">
        <f>中1【S2】!$G$11</f>
        <v>ス</v>
      </c>
      <c r="E234" s="148" t="str">
        <f>中1【S2】!$H$11</f>
        <v>日本語</v>
      </c>
      <c r="F234" s="149" t="str">
        <f>中1【S2】!$I$11</f>
        <v>語彙</v>
      </c>
      <c r="G234" s="149" t="str">
        <f>中1【S2】!$J$11</f>
        <v>ス</v>
      </c>
      <c r="H234" s="148" t="str">
        <f>中1【S2】!$K$11</f>
        <v>日本語</v>
      </c>
      <c r="I234" s="149" t="str">
        <f>中1【S2】!$L$11</f>
        <v>学校生活</v>
      </c>
      <c r="J234" s="149" t="str">
        <f>中1【S2】!$M$11</f>
        <v>ス</v>
      </c>
      <c r="K234" s="148" t="str">
        <f>中1【S2】!$N$11</f>
        <v>日本語</v>
      </c>
      <c r="L234" s="149" t="str">
        <f>中1【S2】!$O$11</f>
        <v>学校生活</v>
      </c>
      <c r="M234" s="149" t="str">
        <f>中1【S2】!$P$11</f>
        <v>ス</v>
      </c>
      <c r="N234" s="148" t="str">
        <f>中1【S2】!$B$16</f>
        <v>日本語</v>
      </c>
      <c r="O234" s="149" t="str">
        <f>中1【S2】!$C$16</f>
        <v>語彙</v>
      </c>
      <c r="P234" s="149" t="str">
        <f>中1【S2】!$D$16</f>
        <v>ス</v>
      </c>
      <c r="Q234" s="148" t="str">
        <f>中1【S2】!$E$16</f>
        <v>日本語</v>
      </c>
      <c r="R234" s="149" t="str">
        <f>中1【S2】!$F$16</f>
        <v>学校生活</v>
      </c>
      <c r="S234" s="149" t="str">
        <f>中1【S2】!$G$16</f>
        <v>ス</v>
      </c>
      <c r="T234" s="9"/>
    </row>
    <row r="235" spans="1:20" ht="21" customHeight="1" x14ac:dyDescent="0.15">
      <c r="A235" s="147">
        <f>中1【S2】!$A$7</f>
        <v>4</v>
      </c>
      <c r="B235" s="148" t="str">
        <f>中1【S2】!$E$12</f>
        <v>算　数</v>
      </c>
      <c r="C235" s="149" t="str">
        <f>中1【S2】!$F$12</f>
        <v>円と球（小3）</v>
      </c>
      <c r="D235" s="149" t="str">
        <f>中1【S2】!$G$12</f>
        <v>ス</v>
      </c>
      <c r="E235" s="148" t="str">
        <f>中1【S2】!$H$12</f>
        <v>算　数</v>
      </c>
      <c r="F235" s="149" t="str">
        <f>中1【S2】!$I$12</f>
        <v>三角形（小3）</v>
      </c>
      <c r="G235" s="149" t="str">
        <f>中1【S2】!$J$12</f>
        <v>ス</v>
      </c>
      <c r="H235" s="148" t="str">
        <f>中1【S2】!$K$12</f>
        <v>算　数</v>
      </c>
      <c r="I235" s="149" t="str">
        <f>中1【S2】!$L$12</f>
        <v>三角形（小3）</v>
      </c>
      <c r="J235" s="149" t="str">
        <f>中1【S2】!$M$12</f>
        <v>ス</v>
      </c>
      <c r="K235" s="148" t="str">
        <f>中1【S2】!$N$12</f>
        <v>体　育</v>
      </c>
      <c r="L235" s="149" t="str">
        <f>中1【S2】!$O$12</f>
        <v>学習用具・教科用語</v>
      </c>
      <c r="M235" s="149" t="str">
        <f>中1【S2】!$P$12</f>
        <v>ス</v>
      </c>
      <c r="N235" s="148" t="str">
        <f>中1【S2】!$B$17</f>
        <v>理　科</v>
      </c>
      <c r="O235" s="149" t="str">
        <f>中1【S2】!$C$17</f>
        <v>学習用具・教科用語</v>
      </c>
      <c r="P235" s="149" t="str">
        <f>中1【S2】!$D$17</f>
        <v>ス</v>
      </c>
      <c r="Q235" s="148" t="str">
        <f>中1【S2】!$E$17</f>
        <v>日本語</v>
      </c>
      <c r="R235" s="149" t="str">
        <f>中1【S2】!$F$17</f>
        <v>日本語能力試験</v>
      </c>
      <c r="S235" s="149" t="str">
        <f>中1【S2】!$G$17</f>
        <v>ス</v>
      </c>
      <c r="T235" s="9"/>
    </row>
    <row r="236" spans="1:20" ht="21" customHeight="1" x14ac:dyDescent="0.15">
      <c r="A236" s="150"/>
      <c r="B236" s="150"/>
      <c r="C236" s="151"/>
      <c r="D236" s="151"/>
      <c r="E236" s="150"/>
      <c r="F236" s="151"/>
      <c r="G236" s="151"/>
      <c r="H236" s="150"/>
      <c r="I236" s="152"/>
      <c r="J236" s="152"/>
      <c r="K236" s="150"/>
      <c r="L236" s="151"/>
      <c r="M236" s="151"/>
      <c r="N236" s="150"/>
      <c r="O236" s="151"/>
      <c r="P236" s="151"/>
      <c r="Q236" s="153"/>
      <c r="R236" s="154"/>
      <c r="S236" s="154"/>
    </row>
    <row r="237" spans="1:20" ht="21" customHeight="1" x14ac:dyDescent="0.15">
      <c r="A237" s="139"/>
      <c r="B237" s="140"/>
      <c r="C237" s="185" t="str">
        <f>中1【S3】!$C$2</f>
        <v>中1　12月　【S3】　指導ユニット　モジュール（現学年・ステップ）配当計画</v>
      </c>
      <c r="D237" s="186"/>
      <c r="E237" s="186"/>
      <c r="F237" s="186"/>
      <c r="G237" s="187"/>
      <c r="H237" s="187"/>
      <c r="I237" s="187"/>
      <c r="J237" s="187"/>
      <c r="K237" s="187"/>
      <c r="L237" s="187"/>
      <c r="M237" s="188"/>
      <c r="N237" s="187"/>
      <c r="O237" s="139"/>
      <c r="P237" s="139"/>
      <c r="Q237" s="140"/>
      <c r="R237" s="139"/>
      <c r="S237" s="139"/>
    </row>
    <row r="238" spans="1:20" ht="21" customHeight="1" x14ac:dyDescent="0.15">
      <c r="A238" s="143" t="s">
        <v>191</v>
      </c>
      <c r="B238" s="189" t="s">
        <v>192</v>
      </c>
      <c r="C238" s="190"/>
      <c r="D238" s="191"/>
      <c r="E238" s="189" t="s">
        <v>193</v>
      </c>
      <c r="F238" s="190"/>
      <c r="G238" s="191"/>
      <c r="H238" s="189" t="s">
        <v>194</v>
      </c>
      <c r="I238" s="190"/>
      <c r="J238" s="191"/>
      <c r="K238" s="189" t="s">
        <v>195</v>
      </c>
      <c r="L238" s="190"/>
      <c r="M238" s="191"/>
      <c r="N238" s="189" t="s">
        <v>196</v>
      </c>
      <c r="O238" s="190"/>
      <c r="P238" s="191"/>
      <c r="Q238" s="189" t="s">
        <v>197</v>
      </c>
      <c r="R238" s="190"/>
      <c r="S238" s="191"/>
      <c r="T238" s="9"/>
    </row>
    <row r="239" spans="1:20" ht="21" customHeight="1" x14ac:dyDescent="0.15">
      <c r="A239" s="144">
        <f>中1【S3】!$A$4</f>
        <v>1</v>
      </c>
      <c r="B239" s="145" t="str">
        <f>中1【S3】!$B$4</f>
        <v>国　語</v>
      </c>
      <c r="C239" s="146" t="str">
        <f>中1【S3】!$C$4</f>
        <v>感じたことを整理する</v>
      </c>
      <c r="D239" s="146" t="str">
        <f>中1【S3】!$D$4</f>
        <v>現</v>
      </c>
      <c r="E239" s="145" t="str">
        <f>中1【S3】!$E$4</f>
        <v>国　語</v>
      </c>
      <c r="F239" s="146" t="str">
        <f>中1【S3】!$F$4</f>
        <v>感じたことを整理する</v>
      </c>
      <c r="G239" s="146" t="str">
        <f>中1【S3】!$G$4</f>
        <v>現</v>
      </c>
      <c r="H239" s="145" t="str">
        <f>中1【S3】!$H$4</f>
        <v>国　語</v>
      </c>
      <c r="I239" s="146" t="str">
        <f>中1【S3】!$I$4</f>
        <v>鑑賞文を書く</v>
      </c>
      <c r="J239" s="146" t="str">
        <f>中1【S3】!$J$4</f>
        <v>現</v>
      </c>
      <c r="K239" s="145" t="str">
        <f>中1【S3】!$K$4</f>
        <v>国　語</v>
      </c>
      <c r="L239" s="146" t="str">
        <f>中1【S3】!$L$4</f>
        <v>竹</v>
      </c>
      <c r="M239" s="146" t="str">
        <f>中1【S3】!$M$4</f>
        <v>現</v>
      </c>
      <c r="N239" s="145" t="str">
        <f>中1【S3】!$N$4</f>
        <v>国　語</v>
      </c>
      <c r="O239" s="146" t="str">
        <f>中1【S3】!$O$4</f>
        <v>言葉の関係を考えよう</v>
      </c>
      <c r="P239" s="146" t="str">
        <f>中1【S3】!$P$4</f>
        <v>現</v>
      </c>
      <c r="Q239" s="145" t="str">
        <f>中1【S3】!$B$9</f>
        <v>国　語</v>
      </c>
      <c r="R239" s="146" t="str">
        <f>中1【S3】!$C$9</f>
        <v>言葉の関係を考えよう</v>
      </c>
      <c r="S239" s="146" t="str">
        <f>中1【S3】!$D$9</f>
        <v>現</v>
      </c>
      <c r="T239" s="9"/>
    </row>
    <row r="240" spans="1:20" ht="21" customHeight="1" x14ac:dyDescent="0.15">
      <c r="A240" s="147">
        <f>中1【S3】!$A$5</f>
        <v>2</v>
      </c>
      <c r="B240" s="148" t="str">
        <f>中1【S3】!$B$5</f>
        <v>数　学</v>
      </c>
      <c r="C240" s="149" t="str">
        <f>中1【S3】!$C$5</f>
        <v>平面図形 基本の作図</v>
      </c>
      <c r="D240" s="149" t="str">
        <f>中1【S3】!$D$5</f>
        <v>現</v>
      </c>
      <c r="E240" s="148" t="str">
        <f>中1【S3】!$E$5</f>
        <v>国　語</v>
      </c>
      <c r="F240" s="149" t="str">
        <f>中1【S3】!$F$5</f>
        <v>鑑賞文を書く</v>
      </c>
      <c r="G240" s="149" t="str">
        <f>中1【S3】!$G$5</f>
        <v>現</v>
      </c>
      <c r="H240" s="148" t="str">
        <f>中1【S3】!$H$5</f>
        <v>数　学</v>
      </c>
      <c r="I240" s="149" t="str">
        <f>中1【S3】!$I$5</f>
        <v>円とおうぎ形</v>
      </c>
      <c r="J240" s="149" t="str">
        <f>中1【S3】!$J$5</f>
        <v>現</v>
      </c>
      <c r="K240" s="148" t="str">
        <f>中1【S3】!$K$5</f>
        <v>数　学</v>
      </c>
      <c r="L240" s="149" t="str">
        <f>中1【S3】!$L$5</f>
        <v>円とおうぎ形</v>
      </c>
      <c r="M240" s="149" t="str">
        <f>中1【S3】!$M$5</f>
        <v>現</v>
      </c>
      <c r="N240" s="148" t="str">
        <f>中1【S3】!$N$5</f>
        <v>数　学</v>
      </c>
      <c r="O240" s="149" t="str">
        <f>中1【S3】!$O$5</f>
        <v>円とおうぎ形</v>
      </c>
      <c r="P240" s="149" t="str">
        <f>中1【S3】!$P$5</f>
        <v>現</v>
      </c>
      <c r="Q240" s="148" t="str">
        <f>中1【S3】!$B$10</f>
        <v>音　楽</v>
      </c>
      <c r="R240" s="149" t="str">
        <f>中1【S3】!$C$10</f>
        <v>学習用具・教科用語</v>
      </c>
      <c r="S240" s="149" t="str">
        <f>中1【S3】!$D$10</f>
        <v>現</v>
      </c>
      <c r="T240" s="9"/>
    </row>
    <row r="241" spans="1:20" ht="21" customHeight="1" x14ac:dyDescent="0.15">
      <c r="A241" s="147">
        <f>中1【S3】!$A$6</f>
        <v>3</v>
      </c>
      <c r="B241" s="148" t="str">
        <f>中1【S3】!$B$6</f>
        <v>日本語</v>
      </c>
      <c r="C241" s="149" t="str">
        <f>中1【S3】!$C$6</f>
        <v>日本の文化</v>
      </c>
      <c r="D241" s="149" t="str">
        <f>中1【S3】!$D$6</f>
        <v>ス</v>
      </c>
      <c r="E241" s="148" t="str">
        <f>中1【S3】!$E$6</f>
        <v>数　学</v>
      </c>
      <c r="F241" s="149" t="str">
        <f>中1【S3】!$F$6</f>
        <v>平面図形 基本の作図</v>
      </c>
      <c r="G241" s="149" t="str">
        <f>中1【S3】!$G$6</f>
        <v>現</v>
      </c>
      <c r="H241" s="148" t="str">
        <f>中1【S3】!$H$6</f>
        <v>理　科</v>
      </c>
      <c r="I241" s="149" t="str">
        <f>中1【S3】!$I$6</f>
        <v>力と圧力</v>
      </c>
      <c r="J241" s="149" t="str">
        <f>中1【S3】!$J$6</f>
        <v>現</v>
      </c>
      <c r="K241" s="148" t="str">
        <f>中1【S3】!$K$6</f>
        <v>国　語</v>
      </c>
      <c r="L241" s="149" t="str">
        <f>中1【S3】!$L$6</f>
        <v>文・文節（小4）</v>
      </c>
      <c r="M241" s="149" t="str">
        <f>中1【S3】!$M$6</f>
        <v>ス</v>
      </c>
      <c r="N241" s="148" t="str">
        <f>中1【S3】!$N$6</f>
        <v>社　会</v>
      </c>
      <c r="O241" s="149" t="str">
        <f>中1【S3】!$O$6</f>
        <v>北アメリカ州</v>
      </c>
      <c r="P241" s="149" t="str">
        <f>中1【S3】!$P$6</f>
        <v>現</v>
      </c>
      <c r="Q241" s="148" t="str">
        <f>中1【S3】!$B$11</f>
        <v>国　語</v>
      </c>
      <c r="R241" s="149" t="str">
        <f>中1【S3】!$C$11</f>
        <v>単文・複文・重文（小5）</v>
      </c>
      <c r="S241" s="149" t="str">
        <f>中1【S3】!$D$11</f>
        <v>ス</v>
      </c>
      <c r="T241" s="9"/>
    </row>
    <row r="242" spans="1:20" ht="21" customHeight="1" x14ac:dyDescent="0.15">
      <c r="A242" s="147">
        <f>中1【S3】!$A$7</f>
        <v>4</v>
      </c>
      <c r="B242" s="148" t="str">
        <f>中1【S3】!$B$7</f>
        <v>社　会</v>
      </c>
      <c r="C242" s="149" t="str">
        <f>中1【S3】!$C$7</f>
        <v>学習用具・教科用語</v>
      </c>
      <c r="D242" s="149" t="str">
        <f>中1【S3】!$D$7</f>
        <v>ス</v>
      </c>
      <c r="E242" s="148" t="str">
        <f>中1【S3】!$E$7</f>
        <v>日本語</v>
      </c>
      <c r="F242" s="149" t="str">
        <f>中1【S3】!$F$7</f>
        <v>語彙</v>
      </c>
      <c r="G242" s="149" t="str">
        <f>中1【S3】!$G$7</f>
        <v>ス</v>
      </c>
      <c r="H242" s="148" t="str">
        <f>中1【S3】!$H$7</f>
        <v>算　数</v>
      </c>
      <c r="I242" s="149" t="str">
        <f>中1【S3】!$I$7</f>
        <v>三角形と四角形（小2）</v>
      </c>
      <c r="J242" s="149" t="str">
        <f>中1【S3】!$J$7</f>
        <v>ス</v>
      </c>
      <c r="K242" s="148" t="str">
        <f>中1【S3】!$K$7</f>
        <v>算　数</v>
      </c>
      <c r="L242" s="149" t="str">
        <f>中1【S3】!$L$7</f>
        <v>円と球（小3）</v>
      </c>
      <c r="M242" s="149" t="str">
        <f>中1【S3】!$M$7</f>
        <v>ス</v>
      </c>
      <c r="N242" s="148" t="str">
        <f>中1【S3】!$N$7</f>
        <v>算　数</v>
      </c>
      <c r="O242" s="149" t="str">
        <f>中1【S3】!$O$7</f>
        <v>三角形（小3）</v>
      </c>
      <c r="P242" s="149" t="str">
        <f>中1【S3】!$P$7</f>
        <v>ス</v>
      </c>
      <c r="Q242" s="148" t="str">
        <f>中1【S3】!$B$12</f>
        <v>理　科</v>
      </c>
      <c r="R242" s="149" t="str">
        <f>中1【S3】!$C$12</f>
        <v>学習用具・教科用語</v>
      </c>
      <c r="S242" s="149" t="str">
        <f>中1【S3】!$D$12</f>
        <v>ス</v>
      </c>
      <c r="T242" s="9"/>
    </row>
    <row r="243" spans="1:20" ht="21" customHeight="1" x14ac:dyDescent="0.15">
      <c r="A243" s="150"/>
      <c r="B243" s="189" t="s">
        <v>198</v>
      </c>
      <c r="C243" s="190"/>
      <c r="D243" s="191"/>
      <c r="E243" s="189" t="s">
        <v>199</v>
      </c>
      <c r="F243" s="190"/>
      <c r="G243" s="191"/>
      <c r="H243" s="189" t="s">
        <v>200</v>
      </c>
      <c r="I243" s="190"/>
      <c r="J243" s="191"/>
      <c r="K243" s="155"/>
      <c r="L243" s="154"/>
      <c r="M243" s="154"/>
      <c r="N243" s="153"/>
      <c r="O243" s="154"/>
      <c r="P243" s="154"/>
      <c r="Q243" s="153"/>
      <c r="R243" s="154"/>
      <c r="S243" s="154"/>
    </row>
    <row r="244" spans="1:20" ht="21" customHeight="1" x14ac:dyDescent="0.15">
      <c r="A244" s="144">
        <f>中1【S3】!$A$4</f>
        <v>1</v>
      </c>
      <c r="B244" s="145" t="str">
        <f>中1【S3】!$E$9</f>
        <v>国　語</v>
      </c>
      <c r="C244" s="146" t="str">
        <f>中1【S3】!$F$9</f>
        <v>桜守三代</v>
      </c>
      <c r="D244" s="146" t="str">
        <f>中1【S3】!$G$9</f>
        <v>現</v>
      </c>
      <c r="E244" s="145" t="str">
        <f>中1【S3】!$H$9</f>
        <v>国　語</v>
      </c>
      <c r="F244" s="146" t="str">
        <f>中1【S3】!$I$9</f>
        <v>本の世界を広げよう</v>
      </c>
      <c r="G244" s="146" t="str">
        <f>中1【S3】!$J$9</f>
        <v>現</v>
      </c>
      <c r="H244" s="145" t="str">
        <f>中1【S3】!$K$9</f>
        <v>国　語</v>
      </c>
      <c r="I244" s="146" t="str">
        <f>中1【S3】!$L$9</f>
        <v>季節のしおり　冬</v>
      </c>
      <c r="J244" s="146" t="str">
        <f>中1【S3】!$M$9</f>
        <v>現</v>
      </c>
      <c r="K244" s="156"/>
      <c r="L244" s="139"/>
      <c r="M244" s="139"/>
      <c r="N244" s="140"/>
      <c r="O244" s="139"/>
      <c r="P244" s="139"/>
      <c r="Q244" s="140"/>
      <c r="R244" s="139"/>
      <c r="S244" s="139"/>
    </row>
    <row r="245" spans="1:20" ht="21" customHeight="1" x14ac:dyDescent="0.15">
      <c r="A245" s="147">
        <f>中1【S3】!$A$5</f>
        <v>2</v>
      </c>
      <c r="B245" s="148" t="str">
        <f>中1【S3】!$E$10</f>
        <v>国　語</v>
      </c>
      <c r="C245" s="149" t="str">
        <f>中1【S3】!$F$10</f>
        <v>桜守三代</v>
      </c>
      <c r="D245" s="149" t="str">
        <f>中1【S3】!$G$10</f>
        <v>現</v>
      </c>
      <c r="E245" s="148" t="str">
        <f>中1【S3】!$H$10</f>
        <v>家庭科</v>
      </c>
      <c r="F245" s="149" t="str">
        <f>中1【S3】!$I$10</f>
        <v>学習用具・教科用語</v>
      </c>
      <c r="G245" s="149" t="str">
        <f>中1【S3】!$J$10</f>
        <v>現</v>
      </c>
      <c r="H245" s="148" t="str">
        <f>中1【S3】!$K$10</f>
        <v>理　科</v>
      </c>
      <c r="I245" s="149" t="str">
        <f>中1【S3】!$L$10</f>
        <v>力と圧力</v>
      </c>
      <c r="J245" s="149" t="str">
        <f>中1【S3】!$M$10</f>
        <v>現</v>
      </c>
      <c r="K245" s="156"/>
      <c r="L245" s="139"/>
      <c r="M245" s="139"/>
      <c r="N245" s="140"/>
      <c r="O245" s="139"/>
      <c r="P245" s="139"/>
      <c r="Q245" s="140"/>
      <c r="R245" s="139"/>
      <c r="S245" s="139"/>
    </row>
    <row r="246" spans="1:20" ht="21" customHeight="1" x14ac:dyDescent="0.15">
      <c r="A246" s="147">
        <f>中1【S3】!$A$6</f>
        <v>3</v>
      </c>
      <c r="B246" s="148" t="str">
        <f>中1【S3】!$E$11</f>
        <v>算　数</v>
      </c>
      <c r="C246" s="149" t="str">
        <f>中1【S3】!$F$11</f>
        <v>円と正多角形（小5）</v>
      </c>
      <c r="D246" s="149" t="str">
        <f>中1【S3】!$G$11</f>
        <v>ス</v>
      </c>
      <c r="E246" s="148" t="str">
        <f>中1【S3】!$H$11</f>
        <v>社　会</v>
      </c>
      <c r="F246" s="149" t="str">
        <f>中1【S3】!$I$11</f>
        <v>南アメリカ州</v>
      </c>
      <c r="G246" s="149" t="str">
        <f>中1【S3】!$J$11</f>
        <v>現</v>
      </c>
      <c r="H246" s="148" t="str">
        <f>中1【S3】!$K$11</f>
        <v>体　育</v>
      </c>
      <c r="I246" s="149" t="str">
        <f>中1【S3】!$L$11</f>
        <v>学習用具・教科用語</v>
      </c>
      <c r="J246" s="149" t="str">
        <f>中1【S3】!$M$11</f>
        <v>ス</v>
      </c>
      <c r="K246" s="156"/>
      <c r="L246" s="139"/>
      <c r="M246" s="139"/>
      <c r="N246" s="140"/>
      <c r="O246" s="139"/>
      <c r="P246" s="139"/>
      <c r="Q246" s="140"/>
      <c r="R246" s="139"/>
      <c r="S246" s="139"/>
    </row>
    <row r="247" spans="1:20" ht="21" customHeight="1" x14ac:dyDescent="0.15">
      <c r="A247" s="147">
        <f>中1【S3】!$A$7</f>
        <v>4</v>
      </c>
      <c r="B247" s="148" t="str">
        <f>中1【S3】!$E$12</f>
        <v>日本語</v>
      </c>
      <c r="C247" s="149" t="str">
        <f>中1【S3】!$F$12</f>
        <v>家庭生活</v>
      </c>
      <c r="D247" s="149" t="str">
        <f>中1【S3】!$G$12</f>
        <v>ス</v>
      </c>
      <c r="E247" s="148" t="str">
        <f>中1【S3】!$H$12</f>
        <v>日本語</v>
      </c>
      <c r="F247" s="149" t="str">
        <f>中1【S3】!$I$12</f>
        <v>日本語能力試験</v>
      </c>
      <c r="G247" s="149" t="str">
        <f>中1【S3】!$J$12</f>
        <v>ス</v>
      </c>
      <c r="H247" s="148" t="str">
        <f>中1【S3】!$K$12</f>
        <v>日本語</v>
      </c>
      <c r="I247" s="149" t="str">
        <f>中1【S3】!$L$12</f>
        <v>学校生活</v>
      </c>
      <c r="J247" s="149" t="str">
        <f>中1【S3】!$M$12</f>
        <v>ス</v>
      </c>
      <c r="K247" s="156"/>
      <c r="L247" s="139"/>
      <c r="M247" s="139"/>
      <c r="N247" s="140"/>
      <c r="O247" s="139"/>
      <c r="P247" s="139"/>
      <c r="Q247" s="140"/>
      <c r="R247" s="139"/>
      <c r="S247" s="139"/>
    </row>
    <row r="248" spans="1:20" ht="21" customHeight="1" x14ac:dyDescent="0.15">
      <c r="A248" s="154"/>
      <c r="B248" s="153"/>
      <c r="C248" s="154"/>
      <c r="D248" s="154"/>
      <c r="E248" s="153"/>
      <c r="F248" s="154"/>
      <c r="G248" s="154"/>
      <c r="H248" s="153"/>
      <c r="I248" s="157"/>
      <c r="J248" s="157"/>
      <c r="K248" s="140"/>
      <c r="L248" s="139"/>
      <c r="M248" s="139"/>
      <c r="N248" s="140"/>
      <c r="O248" s="139"/>
      <c r="P248" s="139"/>
      <c r="Q248" s="140"/>
      <c r="R248" s="139"/>
      <c r="S248" s="139"/>
    </row>
    <row r="249" spans="1:20" ht="21" customHeight="1" x14ac:dyDescent="0.15">
      <c r="A249" s="139"/>
      <c r="B249" s="140"/>
      <c r="C249" s="185" t="str">
        <f>中1【S4】!$C$2</f>
        <v>中1　12月　【S4】　指導ユニット　モジュール（現学年・ステップ）配当計画</v>
      </c>
      <c r="D249" s="186"/>
      <c r="E249" s="186"/>
      <c r="F249" s="186"/>
      <c r="G249" s="187"/>
      <c r="H249" s="187"/>
      <c r="I249" s="187"/>
      <c r="J249" s="187"/>
      <c r="K249" s="187"/>
      <c r="L249" s="187"/>
      <c r="M249" s="188"/>
      <c r="N249" s="187"/>
      <c r="O249" s="139"/>
      <c r="P249" s="139"/>
      <c r="Q249" s="140"/>
      <c r="R249" s="139"/>
      <c r="S249" s="139"/>
    </row>
    <row r="250" spans="1:20" ht="21" customHeight="1" x14ac:dyDescent="0.15">
      <c r="A250" s="143" t="s">
        <v>191</v>
      </c>
      <c r="B250" s="189" t="s">
        <v>192</v>
      </c>
      <c r="C250" s="190"/>
      <c r="D250" s="191"/>
      <c r="E250" s="189" t="s">
        <v>193</v>
      </c>
      <c r="F250" s="190"/>
      <c r="G250" s="191"/>
      <c r="H250" s="189" t="s">
        <v>194</v>
      </c>
      <c r="I250" s="190"/>
      <c r="J250" s="191"/>
      <c r="K250" s="189" t="s">
        <v>195</v>
      </c>
      <c r="L250" s="190"/>
      <c r="M250" s="191"/>
      <c r="N250" s="189" t="s">
        <v>196</v>
      </c>
      <c r="O250" s="190"/>
      <c r="P250" s="191"/>
      <c r="Q250" s="189" t="s">
        <v>197</v>
      </c>
      <c r="R250" s="190"/>
      <c r="S250" s="191"/>
      <c r="T250" s="9"/>
    </row>
    <row r="251" spans="1:20" ht="21" customHeight="1" x14ac:dyDescent="0.15">
      <c r="A251" s="144">
        <f>中1【S4】!$A$4</f>
        <v>1</v>
      </c>
      <c r="B251" s="145" t="str">
        <f>中1【S4】!$B$4</f>
        <v>国　語</v>
      </c>
      <c r="C251" s="146" t="str">
        <f>中1【S4】!$C$4</f>
        <v>感じたことを整理する</v>
      </c>
      <c r="D251" s="146" t="str">
        <f>中1【S4】!$D$4</f>
        <v>現</v>
      </c>
      <c r="E251" s="145" t="str">
        <f>中1【S4】!$E$4</f>
        <v>国　語</v>
      </c>
      <c r="F251" s="146" t="str">
        <f>中1【S4】!$F$4</f>
        <v>竹</v>
      </c>
      <c r="G251" s="146" t="str">
        <f>中1【S4】!$G$4</f>
        <v>現</v>
      </c>
      <c r="H251" s="145" t="str">
        <f>中1【S4】!$H$4</f>
        <v>国　語</v>
      </c>
      <c r="I251" s="146" t="str">
        <f>中1【S4】!$I$4</f>
        <v>言葉の関係を考えよう</v>
      </c>
      <c r="J251" s="146" t="str">
        <f>中1【S4】!$J$4</f>
        <v>現</v>
      </c>
      <c r="K251" s="145" t="str">
        <f>中1【S4】!$K$4</f>
        <v>国　語</v>
      </c>
      <c r="L251" s="146" t="str">
        <f>中1【S4】!$L$4</f>
        <v>桜守三代</v>
      </c>
      <c r="M251" s="146" t="str">
        <f>中1【S4】!$M$4</f>
        <v>現</v>
      </c>
      <c r="N251" s="145" t="str">
        <f>中1【S4】!$N$4</f>
        <v>国　語</v>
      </c>
      <c r="O251" s="146" t="str">
        <f>中1【S4】!$O$4</f>
        <v>本の世界を広げよう</v>
      </c>
      <c r="P251" s="146" t="str">
        <f>中1【S4】!$P$4</f>
        <v>現</v>
      </c>
      <c r="Q251" s="145" t="str">
        <f>中1【S4】!$B$9</f>
        <v>国　語</v>
      </c>
      <c r="R251" s="146" t="str">
        <f>中1【S4】!$C$9</f>
        <v>季節のしおり　冬</v>
      </c>
      <c r="S251" s="146" t="str">
        <f>中1【S4】!$D$9</f>
        <v>現</v>
      </c>
      <c r="T251" s="9"/>
    </row>
    <row r="252" spans="1:20" ht="21" customHeight="1" x14ac:dyDescent="0.15">
      <c r="A252" s="147">
        <f>中1【S4】!$A$5</f>
        <v>2</v>
      </c>
      <c r="B252" s="148" t="str">
        <f>中1【S4】!$B$5</f>
        <v>国　語</v>
      </c>
      <c r="C252" s="149" t="str">
        <f>中1【S4】!$C$5</f>
        <v>鑑賞文を書く</v>
      </c>
      <c r="D252" s="149" t="str">
        <f>中1【S4】!$D$5</f>
        <v>現</v>
      </c>
      <c r="E252" s="148" t="str">
        <f>中1【S4】!$E$5</f>
        <v>算　数</v>
      </c>
      <c r="F252" s="149" t="str">
        <f>中1【S4】!$F$5</f>
        <v>平面図形 基本の作図</v>
      </c>
      <c r="G252" s="149" t="str">
        <f>中1【S4】!$G$5</f>
        <v>現</v>
      </c>
      <c r="H252" s="148" t="str">
        <f>中1【S4】!$H$5</f>
        <v>算　数</v>
      </c>
      <c r="I252" s="149" t="str">
        <f>中1【S4】!$I$5</f>
        <v>円とおうぎ形</v>
      </c>
      <c r="J252" s="149" t="str">
        <f>中1【S4】!$J$5</f>
        <v>現</v>
      </c>
      <c r="K252" s="148" t="str">
        <f>中1【S4】!$K$5</f>
        <v>算　数</v>
      </c>
      <c r="L252" s="149" t="str">
        <f>中1【S4】!$L$5</f>
        <v>円とおうぎ形</v>
      </c>
      <c r="M252" s="149" t="str">
        <f>中1【S4】!$M$5</f>
        <v>現</v>
      </c>
      <c r="N252" s="148" t="str">
        <f>中1【S4】!$N$5</f>
        <v>算　数</v>
      </c>
      <c r="O252" s="149" t="str">
        <f>中1【S4】!$O$5</f>
        <v>円とおうぎ形</v>
      </c>
      <c r="P252" s="149" t="str">
        <f>中1【S4】!$P$5</f>
        <v>現</v>
      </c>
      <c r="Q252" s="148" t="str">
        <f>中1【S4】!$B$10</f>
        <v>図　工</v>
      </c>
      <c r="R252" s="149" t="str">
        <f>中1【S4】!$C$10</f>
        <v>学習用具・教科用語</v>
      </c>
      <c r="S252" s="149" t="str">
        <f>中1【S4】!$D$10</f>
        <v>現</v>
      </c>
      <c r="T252" s="9"/>
    </row>
    <row r="253" spans="1:20" ht="21" customHeight="1" x14ac:dyDescent="0.15">
      <c r="A253" s="147">
        <f>中1【S4】!$A$6</f>
        <v>3</v>
      </c>
      <c r="B253" s="148" t="str">
        <f>中1【S4】!$B$6</f>
        <v>算　数</v>
      </c>
      <c r="C253" s="149" t="str">
        <f>中1【S4】!$C$6</f>
        <v>平面図形 基本の作図</v>
      </c>
      <c r="D253" s="149" t="str">
        <f>中1【S4】!$D$6</f>
        <v>現</v>
      </c>
      <c r="E253" s="148" t="str">
        <f>中1【S4】!$E$6</f>
        <v>家庭科</v>
      </c>
      <c r="F253" s="149" t="str">
        <f>中1【S4】!$F$6</f>
        <v>学習用具・教科用語</v>
      </c>
      <c r="G253" s="149" t="str">
        <f>中1【S4】!$G$6</f>
        <v>現</v>
      </c>
      <c r="H253" s="148" t="str">
        <f>中1【S4】!$H$6</f>
        <v>理　科</v>
      </c>
      <c r="I253" s="149" t="str">
        <f>中1【S4】!$I$6</f>
        <v>力と圧力</v>
      </c>
      <c r="J253" s="149" t="str">
        <f>中1【S4】!$J$6</f>
        <v>現</v>
      </c>
      <c r="K253" s="148" t="str">
        <f>中1【S4】!$K$6</f>
        <v>理　科</v>
      </c>
      <c r="L253" s="149" t="str">
        <f>中1【S4】!$L$6</f>
        <v>力と圧力</v>
      </c>
      <c r="M253" s="149" t="str">
        <f>中1【S4】!$M$6</f>
        <v>現</v>
      </c>
      <c r="N253" s="148" t="str">
        <f>中1【S4】!$N$6</f>
        <v>社　会</v>
      </c>
      <c r="O253" s="149" t="str">
        <f>中1【S4】!$O$6</f>
        <v>北アメリカ州</v>
      </c>
      <c r="P253" s="149" t="str">
        <f>中1【S4】!$P$6</f>
        <v>現</v>
      </c>
      <c r="Q253" s="148" t="str">
        <f>中1【S4】!$B$11</f>
        <v>社　会</v>
      </c>
      <c r="R253" s="149" t="str">
        <f>中1【S4】!$C$11</f>
        <v>南アメリカ州</v>
      </c>
      <c r="S253" s="149" t="str">
        <f>中1【S4】!$D$11</f>
        <v>現</v>
      </c>
      <c r="T253" s="9"/>
    </row>
    <row r="254" spans="1:20" ht="21" customHeight="1" x14ac:dyDescent="0.15">
      <c r="A254" s="147">
        <f>中1【S4】!$A$7</f>
        <v>4</v>
      </c>
      <c r="B254" s="148" t="str">
        <f>中1【S4】!$B$7</f>
        <v>体　育</v>
      </c>
      <c r="C254" s="149" t="str">
        <f>中1【S4】!$C$7</f>
        <v>学習用具・教科用語</v>
      </c>
      <c r="D254" s="149" t="str">
        <f>中1【S4】!$D$7</f>
        <v>ス</v>
      </c>
      <c r="E254" s="148" t="str">
        <f>中1【S4】!$E$7</f>
        <v>日本語</v>
      </c>
      <c r="F254" s="149" t="str">
        <f>中1【S4】!$F$7</f>
        <v>日本の文化</v>
      </c>
      <c r="G254" s="149" t="str">
        <f>中1【S4】!$G$7</f>
        <v>ス</v>
      </c>
      <c r="H254" s="148" t="str">
        <f>中1【S4】!$H$7</f>
        <v>算　数</v>
      </c>
      <c r="I254" s="149" t="str">
        <f>中1【S4】!$I$7</f>
        <v>円と正多角形（小5）</v>
      </c>
      <c r="J254" s="149" t="str">
        <f>中1【S4】!$J$7</f>
        <v>ス</v>
      </c>
      <c r="K254" s="148" t="str">
        <f>中1【S4】!$K$7</f>
        <v>日本語</v>
      </c>
      <c r="L254" s="149" t="str">
        <f>中1【S4】!$L$7</f>
        <v>日本語能力試験</v>
      </c>
      <c r="M254" s="149" t="str">
        <f>中1【S4】!$M$7</f>
        <v>ス</v>
      </c>
      <c r="N254" s="148" t="str">
        <f>中1【S4】!$N$7</f>
        <v>社　会</v>
      </c>
      <c r="O254" s="149" t="str">
        <f>中1【S4】!$O$7</f>
        <v>学習用具・教科用語</v>
      </c>
      <c r="P254" s="149" t="str">
        <f>中1【S4】!$P$7</f>
        <v>ス</v>
      </c>
      <c r="Q254" s="148" t="str">
        <f>中1【S4】!$B$12</f>
        <v>理　科</v>
      </c>
      <c r="R254" s="149" t="str">
        <f>中1【S4】!$C$12</f>
        <v>学習用具・教科用語</v>
      </c>
      <c r="S254" s="149" t="str">
        <f>中1【S4】!$D$12</f>
        <v>ス</v>
      </c>
      <c r="T254" s="9"/>
    </row>
    <row r="255" spans="1:20" ht="21" customHeight="1" x14ac:dyDescent="0.15">
      <c r="A255" s="154"/>
      <c r="B255" s="153"/>
      <c r="C255" s="154"/>
      <c r="D255" s="154"/>
      <c r="E255" s="153"/>
      <c r="F255" s="154"/>
      <c r="G255" s="154"/>
      <c r="H255" s="153"/>
      <c r="I255" s="157"/>
      <c r="J255" s="157"/>
      <c r="K255" s="153"/>
      <c r="L255" s="154"/>
      <c r="M255" s="154"/>
      <c r="N255" s="153"/>
      <c r="O255" s="154"/>
      <c r="P255" s="154"/>
      <c r="Q255" s="153"/>
      <c r="R255" s="154"/>
      <c r="S255" s="154"/>
    </row>
    <row r="256" spans="1:20" ht="21" customHeight="1" x14ac:dyDescent="0.15">
      <c r="A256" s="139"/>
      <c r="B256" s="140"/>
      <c r="C256" s="139"/>
      <c r="D256" s="139"/>
      <c r="E256" s="140"/>
      <c r="F256" s="139"/>
      <c r="G256" s="139"/>
      <c r="H256" s="140"/>
      <c r="I256" s="158"/>
      <c r="J256" s="158"/>
      <c r="K256" s="140"/>
      <c r="L256" s="139"/>
      <c r="M256" s="139"/>
      <c r="N256" s="140"/>
      <c r="O256" s="139"/>
      <c r="P256" s="139"/>
      <c r="Q256" s="140"/>
      <c r="R256" s="139"/>
      <c r="S256" s="139"/>
    </row>
    <row r="257" spans="1:20" ht="21" customHeight="1" x14ac:dyDescent="0.15">
      <c r="A257" s="139"/>
      <c r="B257" s="141"/>
      <c r="C257" s="185" t="str">
        <f>中2【S2】!$C$2</f>
        <v>中2　12月　【S2】　指導ユニット　モジュール（現学年・ステップ）配当計画</v>
      </c>
      <c r="D257" s="186"/>
      <c r="E257" s="186"/>
      <c r="F257" s="186"/>
      <c r="G257" s="187"/>
      <c r="H257" s="187"/>
      <c r="I257" s="187"/>
      <c r="J257" s="187"/>
      <c r="K257" s="187"/>
      <c r="L257" s="187"/>
      <c r="M257" s="188"/>
      <c r="N257" s="187"/>
      <c r="O257" s="139"/>
      <c r="P257" s="142"/>
      <c r="Q257" s="140"/>
      <c r="R257" s="139"/>
      <c r="S257" s="139"/>
    </row>
    <row r="258" spans="1:20" ht="21" customHeight="1" x14ac:dyDescent="0.15">
      <c r="A258" s="143" t="s">
        <v>191</v>
      </c>
      <c r="B258" s="189" t="s">
        <v>192</v>
      </c>
      <c r="C258" s="190"/>
      <c r="D258" s="191"/>
      <c r="E258" s="189" t="s">
        <v>193</v>
      </c>
      <c r="F258" s="190"/>
      <c r="G258" s="191"/>
      <c r="H258" s="189" t="s">
        <v>194</v>
      </c>
      <c r="I258" s="190"/>
      <c r="J258" s="191"/>
      <c r="K258" s="189" t="s">
        <v>195</v>
      </c>
      <c r="L258" s="190"/>
      <c r="M258" s="191"/>
      <c r="N258" s="189" t="s">
        <v>196</v>
      </c>
      <c r="O258" s="190"/>
      <c r="P258" s="191"/>
      <c r="Q258" s="189" t="s">
        <v>197</v>
      </c>
      <c r="R258" s="190"/>
      <c r="S258" s="191"/>
      <c r="T258" s="9"/>
    </row>
    <row r="259" spans="1:20" ht="21" customHeight="1" x14ac:dyDescent="0.15">
      <c r="A259" s="144">
        <f>中2【S2】!$A$4</f>
        <v>1</v>
      </c>
      <c r="B259" s="145" t="str">
        <f>中2【S2】!$B$4</f>
        <v>国　語</v>
      </c>
      <c r="C259" s="146" t="str">
        <f>中2【S2】!$C$4</f>
        <v>意見文の説得力を考える</v>
      </c>
      <c r="D259" s="146" t="str">
        <f>中2【S2】!$D$4</f>
        <v>現</v>
      </c>
      <c r="E259" s="145" t="str">
        <f>中2【S2】!$E$4</f>
        <v>国　語</v>
      </c>
      <c r="F259" s="146" t="str">
        <f>中2【S2】!$F$4</f>
        <v>根拠を明確にして意見を書こう</v>
      </c>
      <c r="G259" s="146" t="str">
        <f>中2【S2】!$G$4</f>
        <v>現</v>
      </c>
      <c r="H259" s="145" t="str">
        <f>中2【S2】!$H$4</f>
        <v>国　語</v>
      </c>
      <c r="I259" s="146" t="str">
        <f>中2【S2】!$I$4</f>
        <v>根拠を明確にして意見を書こう</v>
      </c>
      <c r="J259" s="146" t="str">
        <f>中2【S2】!$J$4</f>
        <v>現</v>
      </c>
      <c r="K259" s="145" t="str">
        <f>中2【S2】!$K$4</f>
        <v>国　語</v>
      </c>
      <c r="L259" s="146" t="str">
        <f>中2【S2】!$L$4</f>
        <v>落葉松</v>
      </c>
      <c r="M259" s="146" t="str">
        <f>中2【S2】!$M$4</f>
        <v>現</v>
      </c>
      <c r="N259" s="145" t="str">
        <f>中2【S2】!$N$4</f>
        <v>数　学</v>
      </c>
      <c r="O259" s="146" t="str">
        <f>中2【S2】!$O$4</f>
        <v>図形の性質と証明 三角形</v>
      </c>
      <c r="P259" s="146" t="str">
        <f>中2【S2】!$P$4</f>
        <v>現</v>
      </c>
      <c r="Q259" s="145" t="str">
        <f>中2【S2】!$B$9</f>
        <v>国　語</v>
      </c>
      <c r="R259" s="146" t="str">
        <f>中2【S2】!$C$9</f>
        <v>落葉松</v>
      </c>
      <c r="S259" s="146" t="str">
        <f>中2【S2】!$D$9</f>
        <v>現</v>
      </c>
      <c r="T259" s="9"/>
    </row>
    <row r="260" spans="1:20" ht="21" customHeight="1" x14ac:dyDescent="0.15">
      <c r="A260" s="147">
        <f>中2【S2】!$A$5</f>
        <v>2</v>
      </c>
      <c r="B260" s="148" t="str">
        <f>中2【S2】!$B$5</f>
        <v>数　学</v>
      </c>
      <c r="C260" s="149" t="str">
        <f>中2【S2】!$C$5</f>
        <v>図形の性質と証明 三角形</v>
      </c>
      <c r="D260" s="149" t="str">
        <f>中2【S2】!$D$5</f>
        <v>現</v>
      </c>
      <c r="E260" s="148" t="str">
        <f>中2【S2】!$E$5</f>
        <v>社　会</v>
      </c>
      <c r="F260" s="149" t="str">
        <f>中2【S2】!$F$5</f>
        <v>明治維新</v>
      </c>
      <c r="G260" s="149" t="str">
        <f>中2【S2】!$G$5</f>
        <v>現</v>
      </c>
      <c r="H260" s="148" t="str">
        <f>中2【S2】!$H$5</f>
        <v>数　学</v>
      </c>
      <c r="I260" s="149" t="str">
        <f>中2【S2】!$I$5</f>
        <v>図形の性質と証明 三角形</v>
      </c>
      <c r="J260" s="149" t="str">
        <f>中2【S2】!$J$5</f>
        <v>現</v>
      </c>
      <c r="K260" s="148" t="str">
        <f>中2【S2】!$K$5</f>
        <v>社　会</v>
      </c>
      <c r="L260" s="149" t="str">
        <f>中2【S2】!$L$5</f>
        <v>明治維新</v>
      </c>
      <c r="M260" s="149" t="str">
        <f>中2【S2】!$M$5</f>
        <v>現</v>
      </c>
      <c r="N260" s="148" t="str">
        <f>中2【S2】!$N$5</f>
        <v>理　科</v>
      </c>
      <c r="O260" s="149" t="str">
        <f>中2【S2】!$O$5</f>
        <v>電流と磁界</v>
      </c>
      <c r="P260" s="149" t="str">
        <f>中2【S2】!$P$5</f>
        <v>現</v>
      </c>
      <c r="Q260" s="148" t="str">
        <f>中2【S2】!$B$10</f>
        <v>日本語</v>
      </c>
      <c r="R260" s="149" t="str">
        <f>中2【S2】!$C$10</f>
        <v>学校生活</v>
      </c>
      <c r="S260" s="149" t="str">
        <f>中2【S2】!$D$10</f>
        <v>ス</v>
      </c>
      <c r="T260" s="9"/>
    </row>
    <row r="261" spans="1:20" ht="21" customHeight="1" x14ac:dyDescent="0.15">
      <c r="A261" s="147">
        <f>中2【S2】!$A$6</f>
        <v>3</v>
      </c>
      <c r="B261" s="148" t="str">
        <f>中2【S2】!$B$6</f>
        <v>社　会</v>
      </c>
      <c r="C261" s="149" t="str">
        <f>中2【S2】!$C$6</f>
        <v>学習用具・教科用語</v>
      </c>
      <c r="D261" s="149" t="str">
        <f>中2【S2】!$D$6</f>
        <v>ス</v>
      </c>
      <c r="E261" s="148" t="str">
        <f>中2【S2】!$E$6</f>
        <v>日本語</v>
      </c>
      <c r="F261" s="149" t="str">
        <f>中2【S2】!$F$6</f>
        <v>日本の文化</v>
      </c>
      <c r="G261" s="149" t="str">
        <f>中2【S2】!$G$6</f>
        <v>ス</v>
      </c>
      <c r="H261" s="148" t="str">
        <f>中2【S2】!$H$6</f>
        <v>社　会</v>
      </c>
      <c r="I261" s="149" t="str">
        <f>中2【S2】!$I$6</f>
        <v>学習用具・教科用語</v>
      </c>
      <c r="J261" s="149" t="str">
        <f>中2【S2】!$J$6</f>
        <v>ス</v>
      </c>
      <c r="K261" s="148" t="str">
        <f>中2【S2】!$K$6</f>
        <v>日本語</v>
      </c>
      <c r="L261" s="149" t="str">
        <f>中2【S2】!$L$6</f>
        <v>語彙</v>
      </c>
      <c r="M261" s="149" t="str">
        <f>中2【S2】!$M$6</f>
        <v>ス</v>
      </c>
      <c r="N261" s="148" t="str">
        <f>中2【S2】!$N$6</f>
        <v>日本語</v>
      </c>
      <c r="O261" s="149" t="str">
        <f>中2【S2】!$O$6</f>
        <v>家庭生活</v>
      </c>
      <c r="P261" s="149" t="str">
        <f>中2【S2】!$P$6</f>
        <v>ス</v>
      </c>
      <c r="Q261" s="148" t="str">
        <f>中2【S2】!$B$11</f>
        <v>日本語</v>
      </c>
      <c r="R261" s="149" t="str">
        <f>中2【S2】!$C$11</f>
        <v>日本語能力試験</v>
      </c>
      <c r="S261" s="149" t="str">
        <f>中2【S2】!$D$11</f>
        <v>ス</v>
      </c>
      <c r="T261" s="9"/>
    </row>
    <row r="262" spans="1:20" ht="21" customHeight="1" x14ac:dyDescent="0.15">
      <c r="A262" s="147">
        <f>中2【S2】!$A$7</f>
        <v>4</v>
      </c>
      <c r="B262" s="148" t="str">
        <f>中2【S2】!$B$7</f>
        <v>算　数</v>
      </c>
      <c r="C262" s="149" t="str">
        <f>中2【S2】!$C$7</f>
        <v>三角形と四角形（小2）</v>
      </c>
      <c r="D262" s="149" t="str">
        <f>中2【S2】!$D$7</f>
        <v>ス</v>
      </c>
      <c r="E262" s="148" t="str">
        <f>中2【S2】!$E$7</f>
        <v>算　数</v>
      </c>
      <c r="F262" s="149" t="str">
        <f>中2【S2】!$F$7</f>
        <v>三角形と四角形（小2）</v>
      </c>
      <c r="G262" s="149" t="str">
        <f>中2【S2】!$G$7</f>
        <v>ス</v>
      </c>
      <c r="H262" s="148" t="str">
        <f>中2【S2】!$H$7</f>
        <v>日本語</v>
      </c>
      <c r="I262" s="149" t="str">
        <f>中2【S2】!$I$7</f>
        <v>語彙</v>
      </c>
      <c r="J262" s="149" t="str">
        <f>中2【S2】!$J$7</f>
        <v>ス</v>
      </c>
      <c r="K262" s="148" t="str">
        <f>中2【S2】!$K$7</f>
        <v>算　数</v>
      </c>
      <c r="L262" s="149" t="str">
        <f>中2【S2】!$L$7</f>
        <v>三角形（小3）</v>
      </c>
      <c r="M262" s="149" t="str">
        <f>中2【S2】!$M$7</f>
        <v>ス</v>
      </c>
      <c r="N262" s="148" t="str">
        <f>中2【S2】!$N$7</f>
        <v>日本語</v>
      </c>
      <c r="O262" s="149" t="str">
        <f>中2【S2】!$O$7</f>
        <v>家庭生活</v>
      </c>
      <c r="P262" s="149" t="str">
        <f>中2【S2】!$P$7</f>
        <v>ス</v>
      </c>
      <c r="Q262" s="148" t="str">
        <f>中2【S2】!$B$12</f>
        <v>図　工</v>
      </c>
      <c r="R262" s="149" t="str">
        <f>中2【S2】!$C$12</f>
        <v>学習用具・教科用語</v>
      </c>
      <c r="S262" s="149" t="str">
        <f>中2【S2】!$D$12</f>
        <v>ス</v>
      </c>
      <c r="T262" s="9"/>
    </row>
    <row r="263" spans="1:20" ht="21" customHeight="1" x14ac:dyDescent="0.15">
      <c r="A263" s="150"/>
      <c r="B263" s="189" t="s">
        <v>198</v>
      </c>
      <c r="C263" s="190"/>
      <c r="D263" s="191"/>
      <c r="E263" s="189" t="s">
        <v>199</v>
      </c>
      <c r="F263" s="190"/>
      <c r="G263" s="191"/>
      <c r="H263" s="189" t="s">
        <v>200</v>
      </c>
      <c r="I263" s="190"/>
      <c r="J263" s="191"/>
      <c r="K263" s="189" t="s">
        <v>201</v>
      </c>
      <c r="L263" s="190"/>
      <c r="M263" s="191"/>
      <c r="N263" s="189" t="s">
        <v>202</v>
      </c>
      <c r="O263" s="190"/>
      <c r="P263" s="191"/>
      <c r="Q263" s="189" t="s">
        <v>203</v>
      </c>
      <c r="R263" s="190"/>
      <c r="S263" s="191"/>
      <c r="T263" s="9"/>
    </row>
    <row r="264" spans="1:20" ht="21" customHeight="1" x14ac:dyDescent="0.15">
      <c r="A264" s="144">
        <f>中2【S2】!$A$4</f>
        <v>1</v>
      </c>
      <c r="B264" s="145" t="str">
        <f>中2【S2】!$E$9</f>
        <v>国　語</v>
      </c>
      <c r="C264" s="146" t="str">
        <f>中2【S2】!$F$9</f>
        <v>走る。走らない。走ろうよ。</v>
      </c>
      <c r="D264" s="146" t="str">
        <f>中2【S2】!$G$9</f>
        <v>現</v>
      </c>
      <c r="E264" s="145" t="str">
        <f>中2【S2】!$H$9</f>
        <v>国　語</v>
      </c>
      <c r="F264" s="146" t="str">
        <f>中2【S2】!$I$9</f>
        <v>走る。走らない。走ろうよ。</v>
      </c>
      <c r="G264" s="146" t="str">
        <f>中2【S2】!$J$9</f>
        <v>現</v>
      </c>
      <c r="H264" s="145" t="str">
        <f>中2【S2】!$K$9</f>
        <v>数　学</v>
      </c>
      <c r="I264" s="146" t="str">
        <f>中2【S2】!$L$9</f>
        <v>図形の性質と証明 三角形</v>
      </c>
      <c r="J264" s="146" t="str">
        <f>中2【S2】!$M$9</f>
        <v>現</v>
      </c>
      <c r="K264" s="145" t="str">
        <f>中2【S2】!$N$9</f>
        <v>国　語</v>
      </c>
      <c r="L264" s="146" t="str">
        <f>中2【S2】!$O$9</f>
        <v>小さな町のラジオ発</v>
      </c>
      <c r="M264" s="146" t="str">
        <f>中2【S2】!$P$9</f>
        <v>現</v>
      </c>
      <c r="N264" s="145" t="str">
        <f>中2【S2】!$B$14</f>
        <v>国　語</v>
      </c>
      <c r="O264" s="146" t="str">
        <f>中2【S2】!$C$14</f>
        <v>本の世界を広げよう</v>
      </c>
      <c r="P264" s="146" t="str">
        <f>中2【S2】!$D$14</f>
        <v>現</v>
      </c>
      <c r="Q264" s="145" t="str">
        <f>中2【S2】!$E$14</f>
        <v>国　語</v>
      </c>
      <c r="R264" s="146" t="str">
        <f>中2【S2】!$F$14</f>
        <v>季節のしおり　冬</v>
      </c>
      <c r="S264" s="146" t="str">
        <f>中2【S2】!$G$14</f>
        <v>現</v>
      </c>
      <c r="T264" s="9"/>
    </row>
    <row r="265" spans="1:20" ht="21" customHeight="1" x14ac:dyDescent="0.15">
      <c r="A265" s="147">
        <f>中2【S2】!$A$5</f>
        <v>2</v>
      </c>
      <c r="B265" s="148" t="str">
        <f>中2【S2】!$E$10</f>
        <v>数　学</v>
      </c>
      <c r="C265" s="149" t="str">
        <f>中2【S2】!$F$10</f>
        <v>図形の性質と証明 三角形</v>
      </c>
      <c r="D265" s="149" t="str">
        <f>中2【S2】!$G$10</f>
        <v>現</v>
      </c>
      <c r="E265" s="148" t="str">
        <f>中2【S2】!$H$10</f>
        <v>理　科</v>
      </c>
      <c r="F265" s="149" t="str">
        <f>中2【S2】!$I$10</f>
        <v>電流の正体</v>
      </c>
      <c r="G265" s="149" t="str">
        <f>中2【S2】!$J$10</f>
        <v>現</v>
      </c>
      <c r="H265" s="148" t="str">
        <f>中2【S2】!$K$10</f>
        <v>国　語</v>
      </c>
      <c r="I265" s="149" t="str">
        <f>中2【S2】!$L$10</f>
        <v>小さな町のラジオ発</v>
      </c>
      <c r="J265" s="149" t="str">
        <f>中2【S2】!$M$10</f>
        <v>現</v>
      </c>
      <c r="K265" s="148" t="str">
        <f>中2【S2】!$N$10</f>
        <v>家庭科</v>
      </c>
      <c r="L265" s="149" t="str">
        <f>中2【S2】!$O$10</f>
        <v>学習用具・教科用語</v>
      </c>
      <c r="M265" s="149" t="str">
        <f>中2【S2】!$P$10</f>
        <v>ス</v>
      </c>
      <c r="N265" s="148" t="str">
        <f>中2【S2】!$B$15</f>
        <v>日本語</v>
      </c>
      <c r="O265" s="149" t="str">
        <f>中2【S2】!$C$15</f>
        <v>家庭生活</v>
      </c>
      <c r="P265" s="149" t="str">
        <f>中2【S2】!$D$15</f>
        <v>ス</v>
      </c>
      <c r="Q265" s="148" t="str">
        <f>中2【S2】!$E$15</f>
        <v>算　数</v>
      </c>
      <c r="R265" s="149" t="str">
        <f>中2【S2】!$F$15</f>
        <v>面積（小5）</v>
      </c>
      <c r="S265" s="149" t="str">
        <f>中2【S2】!$G$15</f>
        <v>ス</v>
      </c>
      <c r="T265" s="9"/>
    </row>
    <row r="266" spans="1:20" ht="21" customHeight="1" x14ac:dyDescent="0.15">
      <c r="A266" s="147">
        <f>中2【S2】!$A$6</f>
        <v>3</v>
      </c>
      <c r="B266" s="148" t="str">
        <f>中2【S2】!$E$11</f>
        <v>国　語</v>
      </c>
      <c r="C266" s="149" t="str">
        <f>中2【S2】!$F$11</f>
        <v>動詞の働き・種類・形の変化（小4）</v>
      </c>
      <c r="D266" s="149" t="str">
        <f>中2【S2】!$G$11</f>
        <v>ス</v>
      </c>
      <c r="E266" s="148" t="str">
        <f>中2【S2】!$H$11</f>
        <v>国　語</v>
      </c>
      <c r="F266" s="149" t="str">
        <f>中2【S2】!$I$11</f>
        <v>言葉の種類　動詞（小6）</v>
      </c>
      <c r="G266" s="149" t="str">
        <f>中2【S2】!$J$11</f>
        <v>ス</v>
      </c>
      <c r="H266" s="148" t="str">
        <f>中2【S2】!$K$11</f>
        <v>日本語</v>
      </c>
      <c r="I266" s="149" t="str">
        <f>中2【S2】!$L$11</f>
        <v>日本の文化</v>
      </c>
      <c r="J266" s="149" t="str">
        <f>中2【S2】!$M$11</f>
        <v>ス</v>
      </c>
      <c r="K266" s="148" t="str">
        <f>中2【S2】!$N$11</f>
        <v>日本語</v>
      </c>
      <c r="L266" s="149" t="str">
        <f>中2【S2】!$O$11</f>
        <v>学校生活</v>
      </c>
      <c r="M266" s="149" t="str">
        <f>中2【S2】!$P$11</f>
        <v>ス</v>
      </c>
      <c r="N266" s="148" t="str">
        <f>中2【S2】!$B$16</f>
        <v>日本語</v>
      </c>
      <c r="O266" s="149" t="str">
        <f>中2【S2】!$C$16</f>
        <v>語彙</v>
      </c>
      <c r="P266" s="149" t="str">
        <f>中2【S2】!$D$16</f>
        <v>ス</v>
      </c>
      <c r="Q266" s="148" t="str">
        <f>中2【S2】!$E$16</f>
        <v>日本語</v>
      </c>
      <c r="R266" s="149" t="str">
        <f>中2【S2】!$F$16</f>
        <v>学校生活</v>
      </c>
      <c r="S266" s="149" t="str">
        <f>中2【S2】!$G$16</f>
        <v>ス</v>
      </c>
      <c r="T266" s="9"/>
    </row>
    <row r="267" spans="1:20" ht="21" customHeight="1" x14ac:dyDescent="0.15">
      <c r="A267" s="147">
        <f>中2【S2】!$A$7</f>
        <v>4</v>
      </c>
      <c r="B267" s="148" t="str">
        <f>中2【S2】!$E$12</f>
        <v>算　数</v>
      </c>
      <c r="C267" s="149" t="str">
        <f>中2【S2】!$F$12</f>
        <v>三角形（小3）</v>
      </c>
      <c r="D267" s="149" t="str">
        <f>中2【S2】!$G$12</f>
        <v>ス</v>
      </c>
      <c r="E267" s="148" t="str">
        <f>中2【S2】!$H$12</f>
        <v>算　数</v>
      </c>
      <c r="F267" s="149" t="str">
        <f>中2【S2】!$I$12</f>
        <v>面積（小4）</v>
      </c>
      <c r="G267" s="149" t="str">
        <f>中2【S2】!$J$12</f>
        <v>ス</v>
      </c>
      <c r="H267" s="148" t="str">
        <f>中2【S2】!$K$12</f>
        <v>算　数</v>
      </c>
      <c r="I267" s="149" t="str">
        <f>中2【S2】!$L$12</f>
        <v>面積（小4）</v>
      </c>
      <c r="J267" s="149" t="str">
        <f>中2【S2】!$M$12</f>
        <v>ス</v>
      </c>
      <c r="K267" s="148" t="str">
        <f>中2【S2】!$N$12</f>
        <v>体　育</v>
      </c>
      <c r="L267" s="149" t="str">
        <f>中2【S2】!$O$12</f>
        <v>学習用具・教科用語</v>
      </c>
      <c r="M267" s="149" t="str">
        <f>中2【S2】!$P$12</f>
        <v>ス</v>
      </c>
      <c r="N267" s="148" t="str">
        <f>中2【S2】!$B$17</f>
        <v>理　科</v>
      </c>
      <c r="O267" s="149" t="str">
        <f>中2【S2】!$C$17</f>
        <v>学習用具・教科用語</v>
      </c>
      <c r="P267" s="149" t="str">
        <f>中2【S2】!$D$17</f>
        <v>ス</v>
      </c>
      <c r="Q267" s="148" t="str">
        <f>中2【S2】!$E$17</f>
        <v>日本語</v>
      </c>
      <c r="R267" s="149" t="str">
        <f>中2【S2】!$F$17</f>
        <v>日本語能力試験</v>
      </c>
      <c r="S267" s="149" t="str">
        <f>中2【S2】!$G$17</f>
        <v>ス</v>
      </c>
      <c r="T267" s="9"/>
    </row>
    <row r="268" spans="1:20" ht="21" customHeight="1" x14ac:dyDescent="0.15">
      <c r="A268" s="150"/>
      <c r="B268" s="150"/>
      <c r="C268" s="151"/>
      <c r="D268" s="151"/>
      <c r="E268" s="150"/>
      <c r="F268" s="151"/>
      <c r="G268" s="151"/>
      <c r="H268" s="150"/>
      <c r="I268" s="152"/>
      <c r="J268" s="152"/>
      <c r="K268" s="150"/>
      <c r="L268" s="151"/>
      <c r="M268" s="151"/>
      <c r="N268" s="150"/>
      <c r="O268" s="151"/>
      <c r="P268" s="151"/>
      <c r="Q268" s="153"/>
      <c r="R268" s="154"/>
      <c r="S268" s="154"/>
    </row>
    <row r="269" spans="1:20" ht="21" customHeight="1" x14ac:dyDescent="0.15">
      <c r="A269" s="139"/>
      <c r="B269" s="140"/>
      <c r="C269" s="185" t="str">
        <f>中2【S3】!$C$2</f>
        <v>中2　12月　【S3】　指導ユニット　モジュール（現学年・ステップ）配当計画</v>
      </c>
      <c r="D269" s="186"/>
      <c r="E269" s="186"/>
      <c r="F269" s="186"/>
      <c r="G269" s="187"/>
      <c r="H269" s="187"/>
      <c r="I269" s="187"/>
      <c r="J269" s="187"/>
      <c r="K269" s="187"/>
      <c r="L269" s="187"/>
      <c r="M269" s="188"/>
      <c r="N269" s="187"/>
      <c r="O269" s="139"/>
      <c r="P269" s="139"/>
      <c r="Q269" s="140"/>
      <c r="R269" s="139"/>
      <c r="S269" s="139"/>
    </row>
    <row r="270" spans="1:20" ht="21" customHeight="1" x14ac:dyDescent="0.15">
      <c r="A270" s="143" t="s">
        <v>191</v>
      </c>
      <c r="B270" s="189" t="s">
        <v>192</v>
      </c>
      <c r="C270" s="190"/>
      <c r="D270" s="191"/>
      <c r="E270" s="189" t="s">
        <v>193</v>
      </c>
      <c r="F270" s="190"/>
      <c r="G270" s="191"/>
      <c r="H270" s="189" t="s">
        <v>194</v>
      </c>
      <c r="I270" s="190"/>
      <c r="J270" s="191"/>
      <c r="K270" s="189" t="s">
        <v>195</v>
      </c>
      <c r="L270" s="190"/>
      <c r="M270" s="191"/>
      <c r="N270" s="189" t="s">
        <v>196</v>
      </c>
      <c r="O270" s="190"/>
      <c r="P270" s="191"/>
      <c r="Q270" s="189" t="s">
        <v>197</v>
      </c>
      <c r="R270" s="190"/>
      <c r="S270" s="191"/>
      <c r="T270" s="9"/>
    </row>
    <row r="271" spans="1:20" ht="21" customHeight="1" x14ac:dyDescent="0.15">
      <c r="A271" s="144">
        <f>中2【S3】!$A$4</f>
        <v>1</v>
      </c>
      <c r="B271" s="145" t="str">
        <f>中2【S3】!$B$4</f>
        <v>国　語</v>
      </c>
      <c r="C271" s="146" t="str">
        <f>中2【S3】!$C$4</f>
        <v>意見文の説得力を考える</v>
      </c>
      <c r="D271" s="146" t="str">
        <f>中2【S3】!$D$4</f>
        <v>現</v>
      </c>
      <c r="E271" s="145" t="str">
        <f>中2【S3】!$E$4</f>
        <v>国　語</v>
      </c>
      <c r="F271" s="146" t="str">
        <f>中2【S3】!$F$4</f>
        <v>根拠を明確にして意見を書こう</v>
      </c>
      <c r="G271" s="146" t="str">
        <f>中2【S3】!$G$4</f>
        <v>現</v>
      </c>
      <c r="H271" s="145" t="str">
        <f>中2【S3】!$H$4</f>
        <v>国　語</v>
      </c>
      <c r="I271" s="146" t="str">
        <f>中2【S3】!$I$4</f>
        <v>落葉松</v>
      </c>
      <c r="J271" s="146" t="str">
        <f>中2【S3】!$J$4</f>
        <v>現</v>
      </c>
      <c r="K271" s="145" t="str">
        <f>中2【S3】!$K$4</f>
        <v>国　語</v>
      </c>
      <c r="L271" s="146" t="str">
        <f>中2【S3】!$L$4</f>
        <v>落葉松</v>
      </c>
      <c r="M271" s="146" t="str">
        <f>中2【S3】!$M$4</f>
        <v>現</v>
      </c>
      <c r="N271" s="145" t="str">
        <f>中2【S3】!$N$4</f>
        <v>国　語</v>
      </c>
      <c r="O271" s="146" t="str">
        <f>中2【S3】!$O$4</f>
        <v>走る。走らない。走ろうよ。</v>
      </c>
      <c r="P271" s="146" t="str">
        <f>中2【S3】!$P$4</f>
        <v>現</v>
      </c>
      <c r="Q271" s="145" t="str">
        <f>中2【S3】!$B$9</f>
        <v>国　語</v>
      </c>
      <c r="R271" s="146" t="str">
        <f>中2【S3】!$C$9</f>
        <v>走る。走らない。走ろうよ。</v>
      </c>
      <c r="S271" s="146" t="str">
        <f>中2【S3】!$D$9</f>
        <v>現</v>
      </c>
      <c r="T271" s="9"/>
    </row>
    <row r="272" spans="1:20" ht="21" customHeight="1" x14ac:dyDescent="0.15">
      <c r="A272" s="147">
        <f>中2【S3】!$A$5</f>
        <v>2</v>
      </c>
      <c r="B272" s="148" t="str">
        <f>中2【S3】!$B$5</f>
        <v>数　学</v>
      </c>
      <c r="C272" s="149" t="str">
        <f>中2【S3】!$C$5</f>
        <v>図形の性質と証明 三角形</v>
      </c>
      <c r="D272" s="149" t="str">
        <f>中2【S3】!$D$5</f>
        <v>現</v>
      </c>
      <c r="E272" s="148" t="str">
        <f>中2【S3】!$E$5</f>
        <v>国　語</v>
      </c>
      <c r="F272" s="149" t="str">
        <f>中2【S3】!$F$5</f>
        <v>根拠を明確にして意見を書こう</v>
      </c>
      <c r="G272" s="149" t="str">
        <f>中2【S3】!$G$5</f>
        <v>現</v>
      </c>
      <c r="H272" s="148" t="str">
        <f>中2【S3】!$H$5</f>
        <v>数　学</v>
      </c>
      <c r="I272" s="149" t="str">
        <f>中2【S3】!$I$5</f>
        <v>図形の性質と証明 三角形</v>
      </c>
      <c r="J272" s="149" t="str">
        <f>中2【S3】!$J$5</f>
        <v>現</v>
      </c>
      <c r="K272" s="148" t="str">
        <f>中2【S3】!$K$5</f>
        <v>数　学</v>
      </c>
      <c r="L272" s="149" t="str">
        <f>中2【S3】!$L$5</f>
        <v>図形の性質と証明 三角形</v>
      </c>
      <c r="M272" s="149" t="str">
        <f>中2【S3】!$M$5</f>
        <v>現</v>
      </c>
      <c r="N272" s="148" t="str">
        <f>中2【S3】!$N$5</f>
        <v>数　学</v>
      </c>
      <c r="O272" s="149" t="str">
        <f>中2【S3】!$O$5</f>
        <v>図形の性質と証明 三角形</v>
      </c>
      <c r="P272" s="149" t="str">
        <f>中2【S3】!$P$5</f>
        <v>現</v>
      </c>
      <c r="Q272" s="148" t="str">
        <f>中2【S3】!$B$10</f>
        <v>音　楽</v>
      </c>
      <c r="R272" s="149" t="str">
        <f>中2【S3】!$C$10</f>
        <v>学習用具・教科用語</v>
      </c>
      <c r="S272" s="149" t="str">
        <f>中2【S3】!$D$10</f>
        <v>現</v>
      </c>
      <c r="T272" s="9"/>
    </row>
    <row r="273" spans="1:20" ht="21" customHeight="1" x14ac:dyDescent="0.15">
      <c r="A273" s="147">
        <f>中2【S3】!$A$6</f>
        <v>3</v>
      </c>
      <c r="B273" s="148" t="str">
        <f>中2【S3】!$B$6</f>
        <v>日本語</v>
      </c>
      <c r="C273" s="149" t="str">
        <f>中2【S3】!$C$6</f>
        <v>語彙</v>
      </c>
      <c r="D273" s="149" t="str">
        <f>中2【S3】!$D$6</f>
        <v>ス</v>
      </c>
      <c r="E273" s="148" t="str">
        <f>中2【S3】!$E$6</f>
        <v>数　学</v>
      </c>
      <c r="F273" s="149" t="str">
        <f>中2【S3】!$F$6</f>
        <v>図形の性質と証明 三角形</v>
      </c>
      <c r="G273" s="149" t="str">
        <f>中2【S3】!$G$6</f>
        <v>現</v>
      </c>
      <c r="H273" s="148" t="str">
        <f>中2【S3】!$H$6</f>
        <v>理　科</v>
      </c>
      <c r="I273" s="149" t="str">
        <f>中2【S3】!$I$6</f>
        <v>電流と磁界</v>
      </c>
      <c r="J273" s="149" t="str">
        <f>中2【S3】!$J$6</f>
        <v>現</v>
      </c>
      <c r="K273" s="148" t="str">
        <f>中2【S3】!$K$6</f>
        <v>国　語</v>
      </c>
      <c r="L273" s="149" t="str">
        <f>中2【S3】!$L$6</f>
        <v>動詞の働き・種類・形の変化（小4）</v>
      </c>
      <c r="M273" s="149" t="str">
        <f>中2【S3】!$M$6</f>
        <v>ス</v>
      </c>
      <c r="N273" s="148" t="str">
        <f>中2【S3】!$N$6</f>
        <v>社　会</v>
      </c>
      <c r="O273" s="149" t="str">
        <f>中2【S3】!$O$6</f>
        <v>明治維新</v>
      </c>
      <c r="P273" s="149" t="str">
        <f>中2【S3】!$P$6</f>
        <v>現</v>
      </c>
      <c r="Q273" s="148" t="str">
        <f>中2【S3】!$B$11</f>
        <v>国　語</v>
      </c>
      <c r="R273" s="149" t="str">
        <f>中2【S3】!$C$11</f>
        <v>言葉の種類　動詞（小6）</v>
      </c>
      <c r="S273" s="149" t="str">
        <f>中2【S3】!$D$11</f>
        <v>ス</v>
      </c>
      <c r="T273" s="9"/>
    </row>
    <row r="274" spans="1:20" ht="21" customHeight="1" x14ac:dyDescent="0.15">
      <c r="A274" s="147">
        <f>中2【S3】!$A$7</f>
        <v>4</v>
      </c>
      <c r="B274" s="148" t="str">
        <f>中2【S3】!$B$7</f>
        <v>社　会</v>
      </c>
      <c r="C274" s="149" t="str">
        <f>中2【S3】!$C$7</f>
        <v>学習用具・教科用語</v>
      </c>
      <c r="D274" s="149" t="str">
        <f>中2【S3】!$D$7</f>
        <v>ス</v>
      </c>
      <c r="E274" s="148" t="str">
        <f>中2【S3】!$E$7</f>
        <v>日本語</v>
      </c>
      <c r="F274" s="149" t="str">
        <f>中2【S3】!$F$7</f>
        <v>語彙</v>
      </c>
      <c r="G274" s="149" t="str">
        <f>中2【S3】!$G$7</f>
        <v>ス</v>
      </c>
      <c r="H274" s="148" t="str">
        <f>中2【S3】!$H$7</f>
        <v>算　数</v>
      </c>
      <c r="I274" s="149" t="str">
        <f>中2【S3】!$I$7</f>
        <v>三角形と四角形（小2）</v>
      </c>
      <c r="J274" s="149" t="str">
        <f>中2【S3】!$J$7</f>
        <v>ス</v>
      </c>
      <c r="K274" s="148" t="str">
        <f>中2【S3】!$K$7</f>
        <v>算　数</v>
      </c>
      <c r="L274" s="149" t="str">
        <f>中2【S3】!$L$7</f>
        <v>三角形（小3）</v>
      </c>
      <c r="M274" s="149" t="str">
        <f>中2【S3】!$M$7</f>
        <v>ス</v>
      </c>
      <c r="N274" s="148" t="str">
        <f>中2【S3】!$N$7</f>
        <v>算　数</v>
      </c>
      <c r="O274" s="149" t="str">
        <f>中2【S3】!$O$7</f>
        <v>面積（小4）</v>
      </c>
      <c r="P274" s="149" t="str">
        <f>中2【S3】!$P$7</f>
        <v>ス</v>
      </c>
      <c r="Q274" s="148" t="str">
        <f>中2【S3】!$B$12</f>
        <v>理　科</v>
      </c>
      <c r="R274" s="149" t="str">
        <f>中2【S3】!$C$12</f>
        <v>学習用具・教科用語</v>
      </c>
      <c r="S274" s="149" t="str">
        <f>中2【S3】!$D$12</f>
        <v>ス</v>
      </c>
      <c r="T274" s="9"/>
    </row>
    <row r="275" spans="1:20" ht="21" customHeight="1" x14ac:dyDescent="0.15">
      <c r="A275" s="150"/>
      <c r="B275" s="189" t="s">
        <v>198</v>
      </c>
      <c r="C275" s="190"/>
      <c r="D275" s="191"/>
      <c r="E275" s="189" t="s">
        <v>199</v>
      </c>
      <c r="F275" s="190"/>
      <c r="G275" s="191"/>
      <c r="H275" s="189" t="s">
        <v>200</v>
      </c>
      <c r="I275" s="190"/>
      <c r="J275" s="191"/>
      <c r="K275" s="155"/>
      <c r="L275" s="154"/>
      <c r="M275" s="154"/>
      <c r="N275" s="153"/>
      <c r="O275" s="154"/>
      <c r="P275" s="154"/>
      <c r="Q275" s="153"/>
      <c r="R275" s="154"/>
      <c r="S275" s="154"/>
    </row>
    <row r="276" spans="1:20" ht="21" customHeight="1" x14ac:dyDescent="0.15">
      <c r="A276" s="144">
        <f>中2【S3】!$A$4</f>
        <v>1</v>
      </c>
      <c r="B276" s="145" t="str">
        <f>中2【S3】!$E$9</f>
        <v>国　語</v>
      </c>
      <c r="C276" s="146" t="str">
        <f>中2【S3】!$F$9</f>
        <v>小さな町のラジオ発</v>
      </c>
      <c r="D276" s="146" t="str">
        <f>中2【S3】!$G$9</f>
        <v>現</v>
      </c>
      <c r="E276" s="145" t="str">
        <f>中2【S3】!$H$9</f>
        <v>国　語</v>
      </c>
      <c r="F276" s="146" t="str">
        <f>中2【S3】!$I$9</f>
        <v>本の世界を広げよう</v>
      </c>
      <c r="G276" s="146" t="str">
        <f>中2【S3】!$J$9</f>
        <v>現</v>
      </c>
      <c r="H276" s="145" t="str">
        <f>中2【S3】!$K$9</f>
        <v>国　語</v>
      </c>
      <c r="I276" s="146" t="str">
        <f>中2【S3】!$L$9</f>
        <v>季節のしおり　冬</v>
      </c>
      <c r="J276" s="146" t="str">
        <f>中2【S3】!$M$9</f>
        <v>現</v>
      </c>
      <c r="K276" s="156"/>
      <c r="L276" s="139"/>
      <c r="M276" s="139"/>
      <c r="N276" s="140"/>
      <c r="O276" s="139"/>
      <c r="P276" s="139"/>
      <c r="Q276" s="140"/>
      <c r="R276" s="139"/>
      <c r="S276" s="139"/>
    </row>
    <row r="277" spans="1:20" ht="21" customHeight="1" x14ac:dyDescent="0.15">
      <c r="A277" s="147">
        <f>中2【S3】!$A$5</f>
        <v>2</v>
      </c>
      <c r="B277" s="148" t="str">
        <f>中2【S3】!$E$10</f>
        <v>国　語</v>
      </c>
      <c r="C277" s="149" t="str">
        <f>中2【S3】!$F$10</f>
        <v>小さな町のラジオ発</v>
      </c>
      <c r="D277" s="149" t="str">
        <f>中2【S3】!$G$10</f>
        <v>現</v>
      </c>
      <c r="E277" s="148" t="str">
        <f>中2【S3】!$H$10</f>
        <v>家庭科</v>
      </c>
      <c r="F277" s="149" t="str">
        <f>中2【S3】!$I$10</f>
        <v>学習用具・教科用語</v>
      </c>
      <c r="G277" s="149" t="str">
        <f>中2【S3】!$J$10</f>
        <v>現</v>
      </c>
      <c r="H277" s="148" t="str">
        <f>中2【S3】!$K$10</f>
        <v>理　科</v>
      </c>
      <c r="I277" s="149" t="str">
        <f>中2【S3】!$L$10</f>
        <v>電流と磁界</v>
      </c>
      <c r="J277" s="149" t="str">
        <f>中2【S3】!$M$10</f>
        <v>現</v>
      </c>
      <c r="K277" s="156"/>
      <c r="L277" s="139"/>
      <c r="M277" s="139"/>
      <c r="N277" s="140"/>
      <c r="O277" s="139"/>
      <c r="P277" s="139"/>
      <c r="Q277" s="140"/>
      <c r="R277" s="139"/>
      <c r="S277" s="139"/>
    </row>
    <row r="278" spans="1:20" ht="21" customHeight="1" x14ac:dyDescent="0.15">
      <c r="A278" s="147">
        <f>中2【S3】!$A$6</f>
        <v>3</v>
      </c>
      <c r="B278" s="148" t="str">
        <f>中2【S3】!$E$11</f>
        <v>算　数</v>
      </c>
      <c r="C278" s="149" t="str">
        <f>中2【S3】!$F$11</f>
        <v>面積（小5）</v>
      </c>
      <c r="D278" s="149" t="str">
        <f>中2【S3】!$G$11</f>
        <v>ス</v>
      </c>
      <c r="E278" s="148" t="str">
        <f>中2【S3】!$H$11</f>
        <v>社　会</v>
      </c>
      <c r="F278" s="149" t="str">
        <f>中2【S3】!$I$11</f>
        <v>明治維新</v>
      </c>
      <c r="G278" s="149" t="str">
        <f>中2【S3】!$J$11</f>
        <v>現</v>
      </c>
      <c r="H278" s="148" t="str">
        <f>中2【S3】!$K$11</f>
        <v>体　育</v>
      </c>
      <c r="I278" s="149" t="str">
        <f>中2【S3】!$L$11</f>
        <v>学習用具・教科用語</v>
      </c>
      <c r="J278" s="149" t="str">
        <f>中2【S3】!$M$11</f>
        <v>ス</v>
      </c>
      <c r="K278" s="156"/>
      <c r="L278" s="139"/>
      <c r="M278" s="139"/>
      <c r="N278" s="140"/>
      <c r="O278" s="139"/>
      <c r="P278" s="139"/>
      <c r="Q278" s="140"/>
      <c r="R278" s="139"/>
      <c r="S278" s="139"/>
    </row>
    <row r="279" spans="1:20" ht="21" customHeight="1" x14ac:dyDescent="0.15">
      <c r="A279" s="147">
        <f>中2【S3】!$A$7</f>
        <v>4</v>
      </c>
      <c r="B279" s="148" t="str">
        <f>中2【S3】!$E$12</f>
        <v>日本語</v>
      </c>
      <c r="C279" s="149" t="str">
        <f>中2【S3】!$F$12</f>
        <v>日本語能力試験</v>
      </c>
      <c r="D279" s="149" t="str">
        <f>中2【S3】!$G$12</f>
        <v>ス</v>
      </c>
      <c r="E279" s="148" t="str">
        <f>中2【S3】!$H$12</f>
        <v>日本語</v>
      </c>
      <c r="F279" s="149" t="str">
        <f>中2【S3】!$I$12</f>
        <v>日本語能力試験</v>
      </c>
      <c r="G279" s="149" t="str">
        <f>中2【S3】!$J$12</f>
        <v>ス</v>
      </c>
      <c r="H279" s="148" t="str">
        <f>中2【S3】!$K$12</f>
        <v>日本語</v>
      </c>
      <c r="I279" s="149" t="str">
        <f>中2【S3】!$L$12</f>
        <v>日本語能力試験</v>
      </c>
      <c r="J279" s="149" t="str">
        <f>中2【S3】!$M$12</f>
        <v>ス</v>
      </c>
      <c r="K279" s="156"/>
      <c r="L279" s="139"/>
      <c r="M279" s="139"/>
      <c r="N279" s="140"/>
      <c r="O279" s="139"/>
      <c r="P279" s="139"/>
      <c r="Q279" s="140"/>
      <c r="R279" s="139"/>
      <c r="S279" s="139"/>
    </row>
    <row r="280" spans="1:20" ht="21" customHeight="1" x14ac:dyDescent="0.15">
      <c r="A280" s="154"/>
      <c r="B280" s="153"/>
      <c r="C280" s="154"/>
      <c r="D280" s="154"/>
      <c r="E280" s="153"/>
      <c r="F280" s="154"/>
      <c r="G280" s="154"/>
      <c r="H280" s="153"/>
      <c r="I280" s="157"/>
      <c r="J280" s="157"/>
      <c r="K280" s="140"/>
      <c r="L280" s="139"/>
      <c r="M280" s="139"/>
      <c r="N280" s="140"/>
      <c r="O280" s="139"/>
      <c r="P280" s="139"/>
      <c r="Q280" s="140"/>
      <c r="R280" s="139"/>
      <c r="S280" s="139"/>
    </row>
    <row r="281" spans="1:20" ht="21" customHeight="1" x14ac:dyDescent="0.15">
      <c r="A281" s="139"/>
      <c r="B281" s="140"/>
      <c r="C281" s="185" t="str">
        <f>中2【S4】!$C$2</f>
        <v>中2　12月　【S4】　指導ユニット　モジュール（現学年・ステップ）配当計画</v>
      </c>
      <c r="D281" s="186"/>
      <c r="E281" s="186"/>
      <c r="F281" s="186"/>
      <c r="G281" s="187"/>
      <c r="H281" s="187"/>
      <c r="I281" s="187"/>
      <c r="J281" s="187"/>
      <c r="K281" s="187"/>
      <c r="L281" s="187"/>
      <c r="M281" s="188"/>
      <c r="N281" s="187"/>
      <c r="O281" s="139"/>
      <c r="P281" s="139"/>
      <c r="Q281" s="140"/>
      <c r="R281" s="139"/>
      <c r="S281" s="139"/>
    </row>
    <row r="282" spans="1:20" ht="21" customHeight="1" x14ac:dyDescent="0.15">
      <c r="A282" s="143" t="s">
        <v>191</v>
      </c>
      <c r="B282" s="189" t="s">
        <v>192</v>
      </c>
      <c r="C282" s="190"/>
      <c r="D282" s="191"/>
      <c r="E282" s="189" t="s">
        <v>193</v>
      </c>
      <c r="F282" s="190"/>
      <c r="G282" s="191"/>
      <c r="H282" s="189" t="s">
        <v>194</v>
      </c>
      <c r="I282" s="190"/>
      <c r="J282" s="191"/>
      <c r="K282" s="189" t="s">
        <v>195</v>
      </c>
      <c r="L282" s="190"/>
      <c r="M282" s="191"/>
      <c r="N282" s="189" t="s">
        <v>196</v>
      </c>
      <c r="O282" s="190"/>
      <c r="P282" s="191"/>
      <c r="Q282" s="189" t="s">
        <v>197</v>
      </c>
      <c r="R282" s="190"/>
      <c r="S282" s="191"/>
      <c r="T282" s="9"/>
    </row>
    <row r="283" spans="1:20" ht="21" customHeight="1" x14ac:dyDescent="0.15">
      <c r="A283" s="144">
        <f>中2【S4】!$A$4</f>
        <v>1</v>
      </c>
      <c r="B283" s="145" t="str">
        <f>中2【S4】!$B$4</f>
        <v>国　語</v>
      </c>
      <c r="C283" s="146" t="str">
        <f>中2【S4】!$C$4</f>
        <v>意見文の説得力を考える</v>
      </c>
      <c r="D283" s="146" t="str">
        <f>中2【S4】!$D$4</f>
        <v>現</v>
      </c>
      <c r="E283" s="145" t="str">
        <f>中2【S4】!$E$4</f>
        <v>国　語</v>
      </c>
      <c r="F283" s="146" t="str">
        <f>中2【S4】!$F$4</f>
        <v>落葉松</v>
      </c>
      <c r="G283" s="146" t="str">
        <f>中2【S4】!$G$4</f>
        <v>現</v>
      </c>
      <c r="H283" s="145" t="str">
        <f>中2【S4】!$H$4</f>
        <v>国　語</v>
      </c>
      <c r="I283" s="146" t="str">
        <f>中2【S4】!$I$4</f>
        <v>走る。走らない。走ろうよ。</v>
      </c>
      <c r="J283" s="146" t="str">
        <f>中2【S4】!$J$4</f>
        <v>現</v>
      </c>
      <c r="K283" s="145" t="str">
        <f>中2【S4】!$K$4</f>
        <v>国　語</v>
      </c>
      <c r="L283" s="146" t="str">
        <f>中2【S4】!$L$4</f>
        <v>小さな町のラジオ発</v>
      </c>
      <c r="M283" s="146" t="str">
        <f>中2【S4】!$M$4</f>
        <v>現</v>
      </c>
      <c r="N283" s="145" t="str">
        <f>中2【S4】!$N$4</f>
        <v>国　語</v>
      </c>
      <c r="O283" s="146" t="str">
        <f>中2【S4】!$O$4</f>
        <v>本の世界を広げよう</v>
      </c>
      <c r="P283" s="146" t="str">
        <f>中2【S4】!$P$4</f>
        <v>現</v>
      </c>
      <c r="Q283" s="145" t="str">
        <f>中2【S4】!$B$9</f>
        <v>国　語</v>
      </c>
      <c r="R283" s="146" t="str">
        <f>中2【S4】!$C$9</f>
        <v>季節のしおり　冬</v>
      </c>
      <c r="S283" s="146" t="str">
        <f>中2【S4】!$D$9</f>
        <v>現</v>
      </c>
      <c r="T283" s="9"/>
    </row>
    <row r="284" spans="1:20" ht="21" customHeight="1" x14ac:dyDescent="0.15">
      <c r="A284" s="147">
        <f>中2【S4】!$A$5</f>
        <v>2</v>
      </c>
      <c r="B284" s="148" t="str">
        <f>中2【S4】!$B$5</f>
        <v>国　語</v>
      </c>
      <c r="C284" s="149" t="str">
        <f>中2【S4】!$C$5</f>
        <v>根拠を明確にして意見を書こう</v>
      </c>
      <c r="D284" s="149" t="str">
        <f>中2【S4】!$D$5</f>
        <v>現</v>
      </c>
      <c r="E284" s="148" t="str">
        <f>中2【S4】!$E$5</f>
        <v>算　数</v>
      </c>
      <c r="F284" s="149" t="str">
        <f>中2【S4】!$F$5</f>
        <v>図形の性質と証明 三角形</v>
      </c>
      <c r="G284" s="149" t="str">
        <f>中2【S4】!$G$5</f>
        <v>現</v>
      </c>
      <c r="H284" s="148" t="str">
        <f>中2【S4】!$H$5</f>
        <v>算　数</v>
      </c>
      <c r="I284" s="149" t="str">
        <f>中2【S4】!$I$5</f>
        <v>図形の性質と証明 三角形</v>
      </c>
      <c r="J284" s="149" t="str">
        <f>中2【S4】!$J$5</f>
        <v>現</v>
      </c>
      <c r="K284" s="148" t="str">
        <f>中2【S4】!$K$5</f>
        <v>算　数</v>
      </c>
      <c r="L284" s="149" t="str">
        <f>中2【S4】!$L$5</f>
        <v>図形の性質と証明 三角形</v>
      </c>
      <c r="M284" s="149" t="str">
        <f>中2【S4】!$M$5</f>
        <v>現</v>
      </c>
      <c r="N284" s="148" t="str">
        <f>中2【S4】!$N$5</f>
        <v>算　数</v>
      </c>
      <c r="O284" s="149" t="str">
        <f>中2【S4】!$O$5</f>
        <v>図形の性質と証明 三角形</v>
      </c>
      <c r="P284" s="149" t="str">
        <f>中2【S4】!$P$5</f>
        <v>現</v>
      </c>
      <c r="Q284" s="148" t="str">
        <f>中2【S4】!$B$10</f>
        <v>図　工</v>
      </c>
      <c r="R284" s="149" t="str">
        <f>中2【S4】!$C$10</f>
        <v>学習用具・教科用語</v>
      </c>
      <c r="S284" s="149" t="str">
        <f>中2【S4】!$D$10</f>
        <v>現</v>
      </c>
      <c r="T284" s="9"/>
    </row>
    <row r="285" spans="1:20" ht="21" customHeight="1" x14ac:dyDescent="0.15">
      <c r="A285" s="147">
        <f>中2【S4】!$A$6</f>
        <v>3</v>
      </c>
      <c r="B285" s="148" t="str">
        <f>中2【S4】!$B$6</f>
        <v>算　数</v>
      </c>
      <c r="C285" s="149" t="str">
        <f>中2【S4】!$C$6</f>
        <v>図形の性質と証明 三角形</v>
      </c>
      <c r="D285" s="149" t="str">
        <f>中2【S4】!$D$6</f>
        <v>現</v>
      </c>
      <c r="E285" s="148" t="str">
        <f>中2【S4】!$E$6</f>
        <v>家庭科</v>
      </c>
      <c r="F285" s="149" t="str">
        <f>中2【S4】!$F$6</f>
        <v>学習用具・教科用語</v>
      </c>
      <c r="G285" s="149" t="str">
        <f>中2【S4】!$G$6</f>
        <v>現</v>
      </c>
      <c r="H285" s="148" t="str">
        <f>中2【S4】!$H$6</f>
        <v>理　科</v>
      </c>
      <c r="I285" s="149" t="str">
        <f>中2【S4】!$I$6</f>
        <v>電流と磁界</v>
      </c>
      <c r="J285" s="149" t="str">
        <f>中2【S4】!$J$6</f>
        <v>現</v>
      </c>
      <c r="K285" s="148" t="str">
        <f>中2【S4】!$K$6</f>
        <v>理　科</v>
      </c>
      <c r="L285" s="149" t="str">
        <f>中2【S4】!$L$6</f>
        <v>電流と磁界</v>
      </c>
      <c r="M285" s="149" t="str">
        <f>中2【S4】!$M$6</f>
        <v>現</v>
      </c>
      <c r="N285" s="148" t="str">
        <f>中2【S4】!$N$6</f>
        <v>社　会</v>
      </c>
      <c r="O285" s="149" t="str">
        <f>中2【S4】!$O$6</f>
        <v>明治維新</v>
      </c>
      <c r="P285" s="149" t="str">
        <f>中2【S4】!$P$6</f>
        <v>現</v>
      </c>
      <c r="Q285" s="148" t="str">
        <f>中2【S4】!$B$11</f>
        <v>社　会</v>
      </c>
      <c r="R285" s="149" t="str">
        <f>中2【S4】!$C$11</f>
        <v>明治維新</v>
      </c>
      <c r="S285" s="149" t="str">
        <f>中2【S4】!$D$11</f>
        <v>現</v>
      </c>
      <c r="T285" s="9"/>
    </row>
    <row r="286" spans="1:20" ht="21" customHeight="1" x14ac:dyDescent="0.15">
      <c r="A286" s="147">
        <f>中2【S4】!$A$7</f>
        <v>4</v>
      </c>
      <c r="B286" s="148" t="str">
        <f>中2【S4】!$B$7</f>
        <v>体　育</v>
      </c>
      <c r="C286" s="149" t="str">
        <f>中2【S4】!$C$7</f>
        <v>学習用具・教科用語</v>
      </c>
      <c r="D286" s="149" t="str">
        <f>中2【S4】!$D$7</f>
        <v>ス</v>
      </c>
      <c r="E286" s="148" t="str">
        <f>中2【S4】!$E$7</f>
        <v>日本語</v>
      </c>
      <c r="F286" s="149" t="str">
        <f>中2【S4】!$F$7</f>
        <v>日本語能力試験</v>
      </c>
      <c r="G286" s="149" t="str">
        <f>中2【S4】!$G$7</f>
        <v>ス</v>
      </c>
      <c r="H286" s="148" t="str">
        <f>中2【S4】!$H$7</f>
        <v>算　数</v>
      </c>
      <c r="I286" s="149" t="str">
        <f>中2【S4】!$I$7</f>
        <v>面積（小5）</v>
      </c>
      <c r="J286" s="149" t="str">
        <f>中2【S4】!$J$7</f>
        <v>ス</v>
      </c>
      <c r="K286" s="148" t="str">
        <f>中2【S4】!$K$7</f>
        <v>日本語</v>
      </c>
      <c r="L286" s="149" t="str">
        <f>中2【S4】!$L$7</f>
        <v>日本語能力試験</v>
      </c>
      <c r="M286" s="149" t="str">
        <f>中2【S4】!$M$7</f>
        <v>ス</v>
      </c>
      <c r="N286" s="148" t="str">
        <f>中2【S4】!$N$7</f>
        <v>社　会</v>
      </c>
      <c r="O286" s="149" t="str">
        <f>中2【S4】!$O$7</f>
        <v>学習用具・教科用語</v>
      </c>
      <c r="P286" s="149" t="str">
        <f>中2【S4】!$P$7</f>
        <v>ス</v>
      </c>
      <c r="Q286" s="148" t="str">
        <f>中2【S4】!$B$12</f>
        <v>理　科</v>
      </c>
      <c r="R286" s="149" t="str">
        <f>中2【S4】!$C$12</f>
        <v>学習用具・教科用語</v>
      </c>
      <c r="S286" s="149" t="str">
        <f>中2【S4】!$D$12</f>
        <v>ス</v>
      </c>
      <c r="T286" s="9"/>
    </row>
    <row r="287" spans="1:20" ht="21" customHeight="1" x14ac:dyDescent="0.15">
      <c r="A287" s="154"/>
      <c r="B287" s="153"/>
      <c r="C287" s="154"/>
      <c r="D287" s="154"/>
      <c r="E287" s="153"/>
      <c r="F287" s="154"/>
      <c r="G287" s="154"/>
      <c r="H287" s="153"/>
      <c r="I287" s="157"/>
      <c r="J287" s="157"/>
      <c r="K287" s="153"/>
      <c r="L287" s="154"/>
      <c r="M287" s="154"/>
      <c r="N287" s="153"/>
      <c r="O287" s="154"/>
      <c r="P287" s="154"/>
      <c r="Q287" s="153"/>
      <c r="R287" s="154"/>
      <c r="S287" s="154"/>
    </row>
    <row r="288" spans="1:20" ht="21" customHeight="1" x14ac:dyDescent="0.15">
      <c r="A288" s="139"/>
      <c r="B288" s="140"/>
      <c r="C288" s="139"/>
      <c r="D288" s="139"/>
      <c r="E288" s="140"/>
      <c r="F288" s="139"/>
      <c r="G288" s="139"/>
      <c r="H288" s="140"/>
      <c r="I288" s="158"/>
      <c r="J288" s="158"/>
      <c r="K288" s="140"/>
      <c r="L288" s="139"/>
      <c r="M288" s="139"/>
      <c r="N288" s="140"/>
      <c r="O288" s="139"/>
      <c r="P288" s="139"/>
      <c r="Q288" s="140"/>
      <c r="R288" s="139"/>
      <c r="S288" s="139"/>
    </row>
    <row r="289" spans="1:20" ht="21" customHeight="1" x14ac:dyDescent="0.15">
      <c r="A289" s="139"/>
      <c r="B289" s="141"/>
      <c r="C289" s="185" t="str">
        <f>中3【S2】!$C$2</f>
        <v>中3　12月　【S2】　指導ユニット　モジュール（現学年・ステップ）配当計画</v>
      </c>
      <c r="D289" s="186"/>
      <c r="E289" s="186"/>
      <c r="F289" s="186"/>
      <c r="G289" s="187"/>
      <c r="H289" s="187"/>
      <c r="I289" s="187"/>
      <c r="J289" s="187"/>
      <c r="K289" s="187"/>
      <c r="L289" s="187"/>
      <c r="M289" s="188"/>
      <c r="N289" s="187"/>
      <c r="O289" s="139"/>
      <c r="P289" s="142"/>
      <c r="Q289" s="140"/>
      <c r="R289" s="139"/>
      <c r="S289" s="139"/>
    </row>
    <row r="290" spans="1:20" ht="21" customHeight="1" x14ac:dyDescent="0.15">
      <c r="A290" s="143" t="s">
        <v>191</v>
      </c>
      <c r="B290" s="189" t="s">
        <v>192</v>
      </c>
      <c r="C290" s="190"/>
      <c r="D290" s="191"/>
      <c r="E290" s="189" t="s">
        <v>193</v>
      </c>
      <c r="F290" s="190"/>
      <c r="G290" s="191"/>
      <c r="H290" s="189" t="s">
        <v>194</v>
      </c>
      <c r="I290" s="190"/>
      <c r="J290" s="191"/>
      <c r="K290" s="189" t="s">
        <v>195</v>
      </c>
      <c r="L290" s="190"/>
      <c r="M290" s="191"/>
      <c r="N290" s="189" t="s">
        <v>196</v>
      </c>
      <c r="O290" s="190"/>
      <c r="P290" s="191"/>
      <c r="Q290" s="189" t="s">
        <v>197</v>
      </c>
      <c r="R290" s="190"/>
      <c r="S290" s="191"/>
      <c r="T290" s="9"/>
    </row>
    <row r="291" spans="1:20" ht="21" customHeight="1" x14ac:dyDescent="0.15">
      <c r="A291" s="144">
        <f>中3【S2】!$A$4</f>
        <v>1</v>
      </c>
      <c r="B291" s="145" t="str">
        <f>中3【S2】!$B$4</f>
        <v>国　語</v>
      </c>
      <c r="C291" s="146" t="str">
        <f>中3【S2】!$C$4</f>
        <v>初恋</v>
      </c>
      <c r="D291" s="146" t="str">
        <f>中3【S2】!$D$4</f>
        <v>現</v>
      </c>
      <c r="E291" s="145" t="str">
        <f>中3【S2】!$E$4</f>
        <v>国　語</v>
      </c>
      <c r="F291" s="146" t="str">
        <f>中3【S2】!$F$4</f>
        <v>初恋</v>
      </c>
      <c r="G291" s="146" t="str">
        <f>中3【S2】!$G$4</f>
        <v>現</v>
      </c>
      <c r="H291" s="145" t="str">
        <f>中3【S2】!$H$4</f>
        <v>国　語</v>
      </c>
      <c r="I291" s="146" t="str">
        <f>中3【S2】!$I$4</f>
        <v>「ない」の違いがわからない？</v>
      </c>
      <c r="J291" s="146" t="str">
        <f>中3【S2】!$J$4</f>
        <v>現</v>
      </c>
      <c r="K291" s="145" t="str">
        <f>中3【S2】!$K$4</f>
        <v>国　語</v>
      </c>
      <c r="L291" s="146" t="str">
        <f>中3【S2】!$L$4</f>
        <v>「ない」の違いがわからない？</v>
      </c>
      <c r="M291" s="146" t="str">
        <f>中3【S2】!$M$4</f>
        <v>現</v>
      </c>
      <c r="N291" s="145" t="str">
        <f>中3【S2】!$N$4</f>
        <v>数　学</v>
      </c>
      <c r="O291" s="146" t="str">
        <f>中3【S2】!$O$4</f>
        <v>円周角と中心角</v>
      </c>
      <c r="P291" s="146" t="str">
        <f>中3【S2】!$P$4</f>
        <v>現</v>
      </c>
      <c r="Q291" s="145" t="str">
        <f>中3【S2】!$B$9</f>
        <v>国　語</v>
      </c>
      <c r="R291" s="146" t="str">
        <f>中3【S2】!$C$9</f>
        <v>エルサルバドルの少女　ヘスース</v>
      </c>
      <c r="S291" s="146" t="str">
        <f>中3【S2】!$D$9</f>
        <v>現</v>
      </c>
      <c r="T291" s="9"/>
    </row>
    <row r="292" spans="1:20" ht="21" customHeight="1" x14ac:dyDescent="0.15">
      <c r="A292" s="147">
        <f>中3【S2】!$A$5</f>
        <v>2</v>
      </c>
      <c r="B292" s="148" t="str">
        <f>中3【S2】!$B$5</f>
        <v>数　学</v>
      </c>
      <c r="C292" s="149" t="str">
        <f>中3【S2】!$C$5</f>
        <v>円周角と中心角</v>
      </c>
      <c r="D292" s="149" t="str">
        <f>中3【S2】!$D$5</f>
        <v>現</v>
      </c>
      <c r="E292" s="148" t="str">
        <f>中3【S2】!$E$5</f>
        <v>社　会</v>
      </c>
      <c r="F292" s="149" t="str">
        <f>中3【S2】!$F$5</f>
        <v>消費生活と経済</v>
      </c>
      <c r="G292" s="149" t="str">
        <f>中3【S2】!$G$5</f>
        <v>現</v>
      </c>
      <c r="H292" s="148" t="str">
        <f>中3【S2】!$H$5</f>
        <v>数　学</v>
      </c>
      <c r="I292" s="149" t="str">
        <f>中3【S2】!$I$5</f>
        <v>円周角と中心角</v>
      </c>
      <c r="J292" s="149" t="str">
        <f>中3【S2】!$J$5</f>
        <v>現</v>
      </c>
      <c r="K292" s="148" t="str">
        <f>中3【S2】!$K$5</f>
        <v>社　会</v>
      </c>
      <c r="L292" s="149" t="str">
        <f>中3【S2】!$L$5</f>
        <v>学習用具・教科用語</v>
      </c>
      <c r="M292" s="149" t="str">
        <f>中3【S2】!$M$5</f>
        <v>ス</v>
      </c>
      <c r="N292" s="148" t="str">
        <f>中3【S2】!$N$5</f>
        <v>理　科</v>
      </c>
      <c r="O292" s="149" t="str">
        <f>中3【S2】!$O$5</f>
        <v>天体の１日の動き</v>
      </c>
      <c r="P292" s="149" t="str">
        <f>中3【S2】!$P$5</f>
        <v>現</v>
      </c>
      <c r="Q292" s="148" t="str">
        <f>中3【S2】!$B$10</f>
        <v>日本語</v>
      </c>
      <c r="R292" s="149" t="str">
        <f>中3【S2】!$C$10</f>
        <v>学校生活</v>
      </c>
      <c r="S292" s="149" t="str">
        <f>中3【S2】!$D$10</f>
        <v>ス</v>
      </c>
      <c r="T292" s="9"/>
    </row>
    <row r="293" spans="1:20" ht="21" customHeight="1" x14ac:dyDescent="0.15">
      <c r="A293" s="147">
        <f>中3【S2】!$A$6</f>
        <v>3</v>
      </c>
      <c r="B293" s="148" t="str">
        <f>中3【S2】!$B$6</f>
        <v>日本語</v>
      </c>
      <c r="C293" s="149" t="str">
        <f>中3【S2】!$C$6</f>
        <v>語彙</v>
      </c>
      <c r="D293" s="149" t="str">
        <f>中3【S2】!$D$6</f>
        <v>ス</v>
      </c>
      <c r="E293" s="148" t="str">
        <f>中3【S2】!$E$6</f>
        <v>日本語</v>
      </c>
      <c r="F293" s="149" t="str">
        <f>中3【S2】!$F$6</f>
        <v>日本の文化</v>
      </c>
      <c r="G293" s="149" t="str">
        <f>中3【S2】!$G$6</f>
        <v>ス</v>
      </c>
      <c r="H293" s="148" t="str">
        <f>中3【S2】!$H$6</f>
        <v>社　会</v>
      </c>
      <c r="I293" s="149" t="str">
        <f>中3【S2】!$I$6</f>
        <v>学習用具・教科用語</v>
      </c>
      <c r="J293" s="149" t="str">
        <f>中3【S2】!$J$6</f>
        <v>ス</v>
      </c>
      <c r="K293" s="148" t="str">
        <f>中3【S2】!$K$6</f>
        <v>日本語</v>
      </c>
      <c r="L293" s="149" t="str">
        <f>中3【S2】!$L$6</f>
        <v>語彙</v>
      </c>
      <c r="M293" s="149" t="str">
        <f>中3【S2】!$M$6</f>
        <v>ス</v>
      </c>
      <c r="N293" s="148" t="str">
        <f>中3【S2】!$N$6</f>
        <v>日本語</v>
      </c>
      <c r="O293" s="149" t="str">
        <f>中3【S2】!$O$6</f>
        <v>家庭生活</v>
      </c>
      <c r="P293" s="149" t="str">
        <f>中3【S2】!$P$6</f>
        <v>ス</v>
      </c>
      <c r="Q293" s="148" t="str">
        <f>中3【S2】!$B$11</f>
        <v>日本語</v>
      </c>
      <c r="R293" s="149" t="str">
        <f>中3【S2】!$C$11</f>
        <v>日本語能力試験</v>
      </c>
      <c r="S293" s="149" t="str">
        <f>中3【S2】!$D$11</f>
        <v>ス</v>
      </c>
      <c r="T293" s="9"/>
    </row>
    <row r="294" spans="1:20" ht="21" customHeight="1" x14ac:dyDescent="0.15">
      <c r="A294" s="147">
        <f>中3【S2】!$A$7</f>
        <v>4</v>
      </c>
      <c r="B294" s="148" t="str">
        <f>中3【S2】!$B$7</f>
        <v>算　数</v>
      </c>
      <c r="C294" s="149" t="str">
        <f>中3【S2】!$C$7</f>
        <v>円と球（小3）</v>
      </c>
      <c r="D294" s="149" t="str">
        <f>中3【S2】!$D$7</f>
        <v>ス</v>
      </c>
      <c r="E294" s="148" t="str">
        <f>中3【S2】!$E$7</f>
        <v>算　数</v>
      </c>
      <c r="F294" s="149" t="str">
        <f>中3【S2】!$F$7</f>
        <v>円と球（小3）</v>
      </c>
      <c r="G294" s="149" t="str">
        <f>中3【S2】!$G$7</f>
        <v>ス</v>
      </c>
      <c r="H294" s="148" t="str">
        <f>中3【S2】!$H$7</f>
        <v>日本語</v>
      </c>
      <c r="I294" s="149" t="str">
        <f>中3【S2】!$I$7</f>
        <v>語彙</v>
      </c>
      <c r="J294" s="149" t="str">
        <f>中3【S2】!$J$7</f>
        <v>ス</v>
      </c>
      <c r="K294" s="148" t="str">
        <f>中3【S2】!$K$7</f>
        <v>算　数</v>
      </c>
      <c r="L294" s="149" t="str">
        <f>中3【S2】!$L$7</f>
        <v>円と球（小3）</v>
      </c>
      <c r="M294" s="149" t="str">
        <f>中3【S2】!$M$7</f>
        <v>ス</v>
      </c>
      <c r="N294" s="148" t="str">
        <f>中3【S2】!$N$7</f>
        <v>日本語</v>
      </c>
      <c r="O294" s="149" t="str">
        <f>中3【S2】!$O$7</f>
        <v>家庭生活</v>
      </c>
      <c r="P294" s="149" t="str">
        <f>中3【S2】!$P$7</f>
        <v>ス</v>
      </c>
      <c r="Q294" s="148" t="str">
        <f>中3【S2】!$B$12</f>
        <v>図　工</v>
      </c>
      <c r="R294" s="149" t="str">
        <f>中3【S2】!$C$12</f>
        <v>学習用具・教科用語</v>
      </c>
      <c r="S294" s="149" t="str">
        <f>中3【S2】!$D$12</f>
        <v>ス</v>
      </c>
      <c r="T294" s="9"/>
    </row>
    <row r="295" spans="1:20" ht="21" customHeight="1" x14ac:dyDescent="0.15">
      <c r="A295" s="150"/>
      <c r="B295" s="189" t="s">
        <v>198</v>
      </c>
      <c r="C295" s="190"/>
      <c r="D295" s="191"/>
      <c r="E295" s="189" t="s">
        <v>199</v>
      </c>
      <c r="F295" s="190"/>
      <c r="G295" s="191"/>
      <c r="H295" s="189" t="s">
        <v>200</v>
      </c>
      <c r="I295" s="190"/>
      <c r="J295" s="191"/>
      <c r="K295" s="189" t="s">
        <v>201</v>
      </c>
      <c r="L295" s="190"/>
      <c r="M295" s="191"/>
      <c r="N295" s="189" t="s">
        <v>202</v>
      </c>
      <c r="O295" s="190"/>
      <c r="P295" s="191"/>
      <c r="Q295" s="189" t="s">
        <v>203</v>
      </c>
      <c r="R295" s="190"/>
      <c r="S295" s="191"/>
      <c r="T295" s="9"/>
    </row>
    <row r="296" spans="1:20" ht="21" customHeight="1" x14ac:dyDescent="0.15">
      <c r="A296" s="144">
        <f>中3【S2】!$A$4</f>
        <v>1</v>
      </c>
      <c r="B296" s="145" t="str">
        <f>中3【S2】!$E$9</f>
        <v>国　語</v>
      </c>
      <c r="C296" s="146" t="str">
        <f>中3【S2】!$F$9</f>
        <v>エルサルバドルの少女　ヘスース</v>
      </c>
      <c r="D296" s="146" t="str">
        <f>中3【S2】!$G$9</f>
        <v>現</v>
      </c>
      <c r="E296" s="145" t="str">
        <f>中3【S2】!$H$9</f>
        <v>国　語</v>
      </c>
      <c r="F296" s="146" t="str">
        <f>中3【S2】!$I$9</f>
        <v>読書記録をつける</v>
      </c>
      <c r="G296" s="146" t="str">
        <f>中3【S2】!$J$9</f>
        <v>現</v>
      </c>
      <c r="H296" s="145" t="str">
        <f>中3【S2】!$K$9</f>
        <v>数　学</v>
      </c>
      <c r="I296" s="146" t="str">
        <f>中3【S2】!$L$9</f>
        <v>円の性質の利用</v>
      </c>
      <c r="J296" s="146" t="str">
        <f>中3【S2】!$M$9</f>
        <v>現</v>
      </c>
      <c r="K296" s="145" t="str">
        <f>中3【S2】!$N$9</f>
        <v>国　語</v>
      </c>
      <c r="L296" s="146" t="str">
        <f>中3【S2】!$O$9</f>
        <v>本の世界を広げよう</v>
      </c>
      <c r="M296" s="146" t="str">
        <f>中3【S2】!$P$9</f>
        <v>現</v>
      </c>
      <c r="N296" s="145" t="str">
        <f>中3【S2】!$B$14</f>
        <v>国　語</v>
      </c>
      <c r="O296" s="146" t="str">
        <f>中3【S2】!$C$14</f>
        <v>季節のしおり　冬</v>
      </c>
      <c r="P296" s="146" t="str">
        <f>中3【S2】!$D$14</f>
        <v>現</v>
      </c>
      <c r="Q296" s="145" t="str">
        <f>中3【S2】!$E$14</f>
        <v>国　語</v>
      </c>
      <c r="R296" s="146" t="str">
        <f>中3【S2】!$F$14</f>
        <v>季節のしおり　冬</v>
      </c>
      <c r="S296" s="146" t="str">
        <f>中3【S2】!$G$14</f>
        <v>現</v>
      </c>
      <c r="T296" s="9"/>
    </row>
    <row r="297" spans="1:20" ht="21" customHeight="1" x14ac:dyDescent="0.15">
      <c r="A297" s="147">
        <f>中3【S2】!$A$5</f>
        <v>2</v>
      </c>
      <c r="B297" s="148" t="str">
        <f>中3【S2】!$E$10</f>
        <v>数　学</v>
      </c>
      <c r="C297" s="149" t="str">
        <f>中3【S2】!$F$10</f>
        <v>円の性質の利用</v>
      </c>
      <c r="D297" s="149" t="str">
        <f>中3【S2】!$G$10</f>
        <v>現</v>
      </c>
      <c r="E297" s="148" t="str">
        <f>中3【S2】!$H$10</f>
        <v>理　科</v>
      </c>
      <c r="F297" s="149" t="str">
        <f>中3【S2】!$I$10</f>
        <v>天体の１年の動き</v>
      </c>
      <c r="G297" s="149" t="str">
        <f>中3【S2】!$J$10</f>
        <v>現</v>
      </c>
      <c r="H297" s="148" t="str">
        <f>中3【S2】!$K$10</f>
        <v>国　語</v>
      </c>
      <c r="I297" s="149" t="str">
        <f>中3【S2】!$L$10</f>
        <v>読書記録をつける</v>
      </c>
      <c r="J297" s="149" t="str">
        <f>中3【S2】!$M$10</f>
        <v>現</v>
      </c>
      <c r="K297" s="148" t="str">
        <f>中3【S2】!$N$10</f>
        <v>社　会</v>
      </c>
      <c r="L297" s="149" t="str">
        <f>中3【S2】!$O$10</f>
        <v>政府の役割と国民の福祉</v>
      </c>
      <c r="M297" s="149" t="str">
        <f>中3【S2】!$P$10</f>
        <v>現</v>
      </c>
      <c r="N297" s="148" t="str">
        <f>中3【S2】!$B$15</f>
        <v>日本語</v>
      </c>
      <c r="O297" s="149" t="str">
        <f>中3【S2】!$C$15</f>
        <v>家庭生活</v>
      </c>
      <c r="P297" s="149" t="str">
        <f>中3【S2】!$D$15</f>
        <v>ス</v>
      </c>
      <c r="Q297" s="148" t="str">
        <f>中3【S2】!$E$15</f>
        <v>算　数</v>
      </c>
      <c r="R297" s="149" t="str">
        <f>中3【S2】!$F$15</f>
        <v>円の面積（小6）</v>
      </c>
      <c r="S297" s="149" t="str">
        <f>中3【S2】!$G$15</f>
        <v>ス</v>
      </c>
      <c r="T297" s="9"/>
    </row>
    <row r="298" spans="1:20" ht="21" customHeight="1" x14ac:dyDescent="0.15">
      <c r="A298" s="147">
        <f>中3【S2】!$A$6</f>
        <v>3</v>
      </c>
      <c r="B298" s="148" t="str">
        <f>中3【S2】!$E$11</f>
        <v>日本語</v>
      </c>
      <c r="C298" s="149" t="str">
        <f>中3【S2】!$F$11</f>
        <v>学校生活</v>
      </c>
      <c r="D298" s="149" t="str">
        <f>中3【S2】!$G$11</f>
        <v>ス</v>
      </c>
      <c r="E298" s="148" t="str">
        <f>中3【S2】!$H$11</f>
        <v>日本語</v>
      </c>
      <c r="F298" s="149" t="str">
        <f>中3【S2】!$I$11</f>
        <v>語彙</v>
      </c>
      <c r="G298" s="149" t="str">
        <f>中3【S2】!$J$11</f>
        <v>ス</v>
      </c>
      <c r="H298" s="148" t="str">
        <f>中3【S2】!$K$11</f>
        <v>日本語</v>
      </c>
      <c r="I298" s="149" t="str">
        <f>中3【S2】!$L$11</f>
        <v>日本の文化</v>
      </c>
      <c r="J298" s="149" t="str">
        <f>中3【S2】!$M$11</f>
        <v>ス</v>
      </c>
      <c r="K298" s="148" t="str">
        <f>中3【S2】!$N$11</f>
        <v>家庭科</v>
      </c>
      <c r="L298" s="149" t="str">
        <f>中3【S2】!$O$11</f>
        <v>学習用具・教科用語</v>
      </c>
      <c r="M298" s="149" t="str">
        <f>中3【S2】!$P$11</f>
        <v>ス</v>
      </c>
      <c r="N298" s="148" t="str">
        <f>中3【S2】!$B$16</f>
        <v>日本語</v>
      </c>
      <c r="O298" s="149" t="str">
        <f>中3【S2】!$C$16</f>
        <v>語彙</v>
      </c>
      <c r="P298" s="149" t="str">
        <f>中3【S2】!$D$16</f>
        <v>ス</v>
      </c>
      <c r="Q298" s="148" t="str">
        <f>中3【S2】!$E$16</f>
        <v>日本語</v>
      </c>
      <c r="R298" s="149" t="str">
        <f>中3【S2】!$F$16</f>
        <v>学校生活</v>
      </c>
      <c r="S298" s="149" t="str">
        <f>中3【S2】!$G$16</f>
        <v>ス</v>
      </c>
      <c r="T298" s="9"/>
    </row>
    <row r="299" spans="1:20" ht="21" customHeight="1" x14ac:dyDescent="0.15">
      <c r="A299" s="147">
        <f>中3【S2】!$A$7</f>
        <v>4</v>
      </c>
      <c r="B299" s="148" t="str">
        <f>中3【S2】!$E$12</f>
        <v>算　数</v>
      </c>
      <c r="C299" s="149" t="str">
        <f>中3【S2】!$F$12</f>
        <v>円と正多角形（小5）</v>
      </c>
      <c r="D299" s="149" t="str">
        <f>中3【S2】!$G$12</f>
        <v>ス</v>
      </c>
      <c r="E299" s="148" t="str">
        <f>中3【S2】!$H$12</f>
        <v>算　数</v>
      </c>
      <c r="F299" s="149" t="str">
        <f>中3【S2】!$I$12</f>
        <v>円と正多角形（小5）</v>
      </c>
      <c r="G299" s="149" t="str">
        <f>中3【S2】!$J$12</f>
        <v>ス</v>
      </c>
      <c r="H299" s="148" t="str">
        <f>中3【S2】!$K$12</f>
        <v>算　数</v>
      </c>
      <c r="I299" s="149" t="str">
        <f>中3【S2】!$L$12</f>
        <v>円の面積（小6）</v>
      </c>
      <c r="J299" s="149" t="str">
        <f>中3【S2】!$M$12</f>
        <v>ス</v>
      </c>
      <c r="K299" s="148" t="str">
        <f>中3【S2】!$N$12</f>
        <v>体　育</v>
      </c>
      <c r="L299" s="149" t="str">
        <f>中3【S2】!$O$12</f>
        <v>学習用具・教科用語</v>
      </c>
      <c r="M299" s="149" t="str">
        <f>中3【S2】!$P$12</f>
        <v>ス</v>
      </c>
      <c r="N299" s="148" t="str">
        <f>中3【S2】!$B$17</f>
        <v>理　科</v>
      </c>
      <c r="O299" s="149" t="str">
        <f>中3【S2】!$C$17</f>
        <v>学習用具・教科用語</v>
      </c>
      <c r="P299" s="149" t="str">
        <f>中3【S2】!$D$17</f>
        <v>ス</v>
      </c>
      <c r="Q299" s="148" t="str">
        <f>中3【S2】!$E$17</f>
        <v>日本語</v>
      </c>
      <c r="R299" s="149" t="str">
        <f>中3【S2】!$F$17</f>
        <v>日本語能力試験</v>
      </c>
      <c r="S299" s="149" t="str">
        <f>中3【S2】!$G$17</f>
        <v>ス</v>
      </c>
      <c r="T299" s="9"/>
    </row>
    <row r="300" spans="1:20" ht="21" customHeight="1" x14ac:dyDescent="0.15">
      <c r="A300" s="150"/>
      <c r="B300" s="150"/>
      <c r="C300" s="151"/>
      <c r="D300" s="151"/>
      <c r="E300" s="150"/>
      <c r="F300" s="151"/>
      <c r="G300" s="151"/>
      <c r="H300" s="150"/>
      <c r="I300" s="152"/>
      <c r="J300" s="152"/>
      <c r="K300" s="150"/>
      <c r="L300" s="151"/>
      <c r="M300" s="151"/>
      <c r="N300" s="150"/>
      <c r="O300" s="151"/>
      <c r="P300" s="151"/>
      <c r="Q300" s="153"/>
      <c r="R300" s="154"/>
      <c r="S300" s="154"/>
    </row>
    <row r="301" spans="1:20" ht="21" customHeight="1" x14ac:dyDescent="0.15">
      <c r="A301" s="139"/>
      <c r="B301" s="140"/>
      <c r="C301" s="185" t="str">
        <f>中3【S3】!$C$2</f>
        <v>中3　12月　【S3】　指導ユニット　モジュール（現学年・ステップ）配当計画</v>
      </c>
      <c r="D301" s="186"/>
      <c r="E301" s="186"/>
      <c r="F301" s="186"/>
      <c r="G301" s="187"/>
      <c r="H301" s="187"/>
      <c r="I301" s="187"/>
      <c r="J301" s="187"/>
      <c r="K301" s="187"/>
      <c r="L301" s="187"/>
      <c r="M301" s="188"/>
      <c r="N301" s="187"/>
      <c r="O301" s="139"/>
      <c r="P301" s="139"/>
      <c r="Q301" s="140"/>
      <c r="R301" s="139"/>
      <c r="S301" s="139"/>
    </row>
    <row r="302" spans="1:20" ht="21" customHeight="1" x14ac:dyDescent="0.15">
      <c r="A302" s="143" t="s">
        <v>191</v>
      </c>
      <c r="B302" s="189" t="s">
        <v>192</v>
      </c>
      <c r="C302" s="190"/>
      <c r="D302" s="191"/>
      <c r="E302" s="189" t="s">
        <v>193</v>
      </c>
      <c r="F302" s="190"/>
      <c r="G302" s="191"/>
      <c r="H302" s="189" t="s">
        <v>194</v>
      </c>
      <c r="I302" s="190"/>
      <c r="J302" s="191"/>
      <c r="K302" s="189" t="s">
        <v>195</v>
      </c>
      <c r="L302" s="190"/>
      <c r="M302" s="191"/>
      <c r="N302" s="189" t="s">
        <v>196</v>
      </c>
      <c r="O302" s="190"/>
      <c r="P302" s="191"/>
      <c r="Q302" s="189" t="s">
        <v>197</v>
      </c>
      <c r="R302" s="190"/>
      <c r="S302" s="191"/>
      <c r="T302" s="9"/>
    </row>
    <row r="303" spans="1:20" ht="21" customHeight="1" x14ac:dyDescent="0.15">
      <c r="A303" s="144">
        <f>中3【S3】!$A$4</f>
        <v>1</v>
      </c>
      <c r="B303" s="145" t="str">
        <f>中3【S3】!$B$4</f>
        <v>国　語</v>
      </c>
      <c r="C303" s="146" t="str">
        <f>中3【S3】!$C$4</f>
        <v>初恋</v>
      </c>
      <c r="D303" s="146" t="str">
        <f>中3【S3】!$D$4</f>
        <v>現</v>
      </c>
      <c r="E303" s="145" t="str">
        <f>中3【S3】!$E$4</f>
        <v>国　語</v>
      </c>
      <c r="F303" s="146" t="str">
        <f>中3【S3】!$F$4</f>
        <v>初恋</v>
      </c>
      <c r="G303" s="146" t="str">
        <f>中3【S3】!$G$4</f>
        <v>現</v>
      </c>
      <c r="H303" s="145" t="str">
        <f>中3【S3】!$H$4</f>
        <v>国　語</v>
      </c>
      <c r="I303" s="146" t="str">
        <f>中3【S3】!$I$4</f>
        <v>「ない」の違いがわからない？</v>
      </c>
      <c r="J303" s="146" t="str">
        <f>中3【S3】!$J$4</f>
        <v>現</v>
      </c>
      <c r="K303" s="145" t="str">
        <f>中3【S3】!$K$4</f>
        <v>国　語</v>
      </c>
      <c r="L303" s="146" t="str">
        <f>中3【S3】!$L$4</f>
        <v>エルサルバドルの少女　ヘスース</v>
      </c>
      <c r="M303" s="146" t="str">
        <f>中3【S3】!$M$4</f>
        <v>現</v>
      </c>
      <c r="N303" s="145" t="str">
        <f>中3【S3】!$N$4</f>
        <v>国　語</v>
      </c>
      <c r="O303" s="146" t="str">
        <f>中3【S3】!$O$4</f>
        <v>エルサルバドルの少女　ヘスース</v>
      </c>
      <c r="P303" s="146" t="str">
        <f>中3【S3】!$P$4</f>
        <v>現</v>
      </c>
      <c r="Q303" s="145" t="str">
        <f>中3【S3】!$B$9</f>
        <v>国　語</v>
      </c>
      <c r="R303" s="146" t="str">
        <f>中3【S3】!$C$9</f>
        <v>読書記録をつける</v>
      </c>
      <c r="S303" s="146" t="str">
        <f>中3【S3】!$D$9</f>
        <v>現</v>
      </c>
      <c r="T303" s="9"/>
    </row>
    <row r="304" spans="1:20" ht="21" customHeight="1" x14ac:dyDescent="0.15">
      <c r="A304" s="147">
        <f>中3【S3】!$A$5</f>
        <v>2</v>
      </c>
      <c r="B304" s="148" t="str">
        <f>中3【S3】!$B$5</f>
        <v>数　学</v>
      </c>
      <c r="C304" s="149" t="str">
        <f>中3【S3】!$C$5</f>
        <v>円周角と中心角</v>
      </c>
      <c r="D304" s="149" t="str">
        <f>中3【S3】!$D$5</f>
        <v>現</v>
      </c>
      <c r="E304" s="148" t="str">
        <f>中3【S3】!$E$5</f>
        <v>国　語</v>
      </c>
      <c r="F304" s="149" t="str">
        <f>中3【S3】!$F$5</f>
        <v>「ない」の違いがわからない？</v>
      </c>
      <c r="G304" s="149" t="str">
        <f>中3【S3】!$G$5</f>
        <v>現</v>
      </c>
      <c r="H304" s="148" t="str">
        <f>中3【S3】!$H$5</f>
        <v>数　学</v>
      </c>
      <c r="I304" s="149" t="str">
        <f>中3【S3】!$I$5</f>
        <v>円周角と中心角</v>
      </c>
      <c r="J304" s="149" t="str">
        <f>中3【S3】!$J$5</f>
        <v>現</v>
      </c>
      <c r="K304" s="148" t="str">
        <f>中3【S3】!$K$5</f>
        <v>数　学</v>
      </c>
      <c r="L304" s="149" t="str">
        <f>中3【S3】!$L$5</f>
        <v>円の性質の利用</v>
      </c>
      <c r="M304" s="149" t="str">
        <f>中3【S3】!$M$5</f>
        <v>現</v>
      </c>
      <c r="N304" s="148" t="str">
        <f>中3【S3】!$N$5</f>
        <v>数　学</v>
      </c>
      <c r="O304" s="149" t="str">
        <f>中3【S3】!$O$5</f>
        <v>円の性質の利用</v>
      </c>
      <c r="P304" s="149" t="str">
        <f>中3【S3】!$P$5</f>
        <v>現</v>
      </c>
      <c r="Q304" s="148" t="str">
        <f>中3【S3】!$B$10</f>
        <v>音　楽</v>
      </c>
      <c r="R304" s="149" t="str">
        <f>中3【S3】!$C$10</f>
        <v>学習用具・教科用語</v>
      </c>
      <c r="S304" s="149" t="str">
        <f>中3【S3】!$D$10</f>
        <v>現</v>
      </c>
      <c r="T304" s="9"/>
    </row>
    <row r="305" spans="1:20" ht="21" customHeight="1" x14ac:dyDescent="0.15">
      <c r="A305" s="147">
        <f>中3【S3】!$A$6</f>
        <v>3</v>
      </c>
      <c r="B305" s="148" t="str">
        <f>中3【S3】!$B$6</f>
        <v>日本語</v>
      </c>
      <c r="C305" s="149" t="str">
        <f>中3【S3】!$C$6</f>
        <v>語彙</v>
      </c>
      <c r="D305" s="149" t="str">
        <f>中3【S3】!$D$6</f>
        <v>ス</v>
      </c>
      <c r="E305" s="148" t="str">
        <f>中3【S3】!$E$6</f>
        <v>数　学</v>
      </c>
      <c r="F305" s="149" t="str">
        <f>中3【S3】!$F$6</f>
        <v>円周角と中心角</v>
      </c>
      <c r="G305" s="149" t="str">
        <f>中3【S3】!$G$6</f>
        <v>現</v>
      </c>
      <c r="H305" s="148" t="str">
        <f>中3【S3】!$H$6</f>
        <v>理　科</v>
      </c>
      <c r="I305" s="149" t="str">
        <f>中3【S3】!$I$6</f>
        <v>天体の１日の動き</v>
      </c>
      <c r="J305" s="149" t="str">
        <f>中3【S3】!$J$6</f>
        <v>現</v>
      </c>
      <c r="K305" s="148" t="str">
        <f>中3【S3】!$K$6</f>
        <v>日本語</v>
      </c>
      <c r="L305" s="149" t="str">
        <f>中3【S3】!$L$6</f>
        <v>日本の文化</v>
      </c>
      <c r="M305" s="149" t="str">
        <f>中3【S3】!$M$6</f>
        <v>ス</v>
      </c>
      <c r="N305" s="148" t="str">
        <f>中3【S3】!$N$6</f>
        <v>社　会</v>
      </c>
      <c r="O305" s="149" t="str">
        <f>中3【S3】!$O$6</f>
        <v>消費生活と経済</v>
      </c>
      <c r="P305" s="149" t="str">
        <f>中3【S3】!$P$6</f>
        <v>現</v>
      </c>
      <c r="Q305" s="148" t="str">
        <f>中3【S3】!$B$11</f>
        <v>日本語</v>
      </c>
      <c r="R305" s="149" t="str">
        <f>中3【S3】!$C$11</f>
        <v>日本語能力試験</v>
      </c>
      <c r="S305" s="149" t="str">
        <f>中3【S3】!$D$11</f>
        <v>ス</v>
      </c>
      <c r="T305" s="9"/>
    </row>
    <row r="306" spans="1:20" ht="21" customHeight="1" x14ac:dyDescent="0.15">
      <c r="A306" s="147">
        <f>中3【S3】!$A$7</f>
        <v>4</v>
      </c>
      <c r="B306" s="148" t="str">
        <f>中3【S3】!$B$7</f>
        <v>社　会</v>
      </c>
      <c r="C306" s="149" t="str">
        <f>中3【S3】!$C$7</f>
        <v>学習用具・教科用語</v>
      </c>
      <c r="D306" s="149" t="str">
        <f>中3【S3】!$D$7</f>
        <v>ス</v>
      </c>
      <c r="E306" s="148" t="str">
        <f>中3【S3】!$E$7</f>
        <v>日本語</v>
      </c>
      <c r="F306" s="149" t="str">
        <f>中3【S3】!$F$7</f>
        <v>語彙</v>
      </c>
      <c r="G306" s="149" t="str">
        <f>中3【S3】!$G$7</f>
        <v>ス</v>
      </c>
      <c r="H306" s="148" t="str">
        <f>中3【S3】!$H$7</f>
        <v>算　数</v>
      </c>
      <c r="I306" s="149" t="str">
        <f>中3【S3】!$I$7</f>
        <v>円と球（小3）</v>
      </c>
      <c r="J306" s="149" t="str">
        <f>中3【S3】!$J$7</f>
        <v>ス</v>
      </c>
      <c r="K306" s="148" t="str">
        <f>中3【S3】!$K$7</f>
        <v>算　数</v>
      </c>
      <c r="L306" s="149" t="str">
        <f>中3【S3】!$L$7</f>
        <v>円と正多角形（小5）</v>
      </c>
      <c r="M306" s="149" t="str">
        <f>中3【S3】!$M$7</f>
        <v>ス</v>
      </c>
      <c r="N306" s="148" t="str">
        <f>中3【S3】!$N$7</f>
        <v>算　数</v>
      </c>
      <c r="O306" s="149" t="str">
        <f>中3【S3】!$O$7</f>
        <v>円と正多角形（小5）</v>
      </c>
      <c r="P306" s="149" t="str">
        <f>中3【S3】!$P$7</f>
        <v>ス</v>
      </c>
      <c r="Q306" s="148" t="str">
        <f>中3【S3】!$B$12</f>
        <v>理　科</v>
      </c>
      <c r="R306" s="149" t="str">
        <f>中3【S3】!$C$12</f>
        <v>学習用具・教科用語</v>
      </c>
      <c r="S306" s="149" t="str">
        <f>中3【S3】!$D$12</f>
        <v>ス</v>
      </c>
      <c r="T306" s="9"/>
    </row>
    <row r="307" spans="1:20" ht="21" customHeight="1" x14ac:dyDescent="0.15">
      <c r="A307" s="150"/>
      <c r="B307" s="189" t="s">
        <v>198</v>
      </c>
      <c r="C307" s="190"/>
      <c r="D307" s="191"/>
      <c r="E307" s="189" t="s">
        <v>199</v>
      </c>
      <c r="F307" s="190"/>
      <c r="G307" s="191"/>
      <c r="H307" s="189" t="s">
        <v>200</v>
      </c>
      <c r="I307" s="190"/>
      <c r="J307" s="191"/>
      <c r="K307" s="155"/>
      <c r="L307" s="154"/>
      <c r="M307" s="154"/>
      <c r="N307" s="153"/>
      <c r="O307" s="154"/>
      <c r="P307" s="154"/>
      <c r="Q307" s="153"/>
      <c r="R307" s="154"/>
      <c r="S307" s="154"/>
    </row>
    <row r="308" spans="1:20" ht="21" customHeight="1" x14ac:dyDescent="0.15">
      <c r="A308" s="144">
        <f>中3【S3】!$A$4</f>
        <v>1</v>
      </c>
      <c r="B308" s="145" t="str">
        <f>中3【S3】!$E$9</f>
        <v>国　語</v>
      </c>
      <c r="C308" s="146" t="str">
        <f>中3【S3】!$F$9</f>
        <v>読書記録をつける</v>
      </c>
      <c r="D308" s="146" t="str">
        <f>中3【S3】!$G$9</f>
        <v>現</v>
      </c>
      <c r="E308" s="145" t="str">
        <f>中3【S3】!$H$9</f>
        <v>国　語</v>
      </c>
      <c r="F308" s="146" t="str">
        <f>中3【S3】!$I$9</f>
        <v>季節のしおり　冬</v>
      </c>
      <c r="G308" s="146" t="str">
        <f>中3【S3】!$J$9</f>
        <v>現</v>
      </c>
      <c r="H308" s="145" t="str">
        <f>中3【S3】!$K$9</f>
        <v>国　語</v>
      </c>
      <c r="I308" s="146" t="str">
        <f>中3【S3】!$L$9</f>
        <v>季節のしおり　冬</v>
      </c>
      <c r="J308" s="146" t="str">
        <f>中3【S3】!$M$9</f>
        <v>現</v>
      </c>
      <c r="K308" s="156"/>
      <c r="L308" s="139"/>
      <c r="M308" s="139"/>
      <c r="N308" s="140"/>
      <c r="O308" s="139"/>
      <c r="P308" s="139"/>
      <c r="Q308" s="140"/>
      <c r="R308" s="139"/>
      <c r="S308" s="139"/>
    </row>
    <row r="309" spans="1:20" ht="21" customHeight="1" x14ac:dyDescent="0.15">
      <c r="A309" s="147">
        <f>中3【S3】!$A$5</f>
        <v>2</v>
      </c>
      <c r="B309" s="148" t="str">
        <f>中3【S3】!$E$10</f>
        <v>国　語</v>
      </c>
      <c r="C309" s="149" t="str">
        <f>中3【S3】!$F$10</f>
        <v>本の世界を広げよう</v>
      </c>
      <c r="D309" s="149" t="str">
        <f>中3【S3】!$G$10</f>
        <v>現</v>
      </c>
      <c r="E309" s="148" t="str">
        <f>中3【S3】!$H$10</f>
        <v>家庭科</v>
      </c>
      <c r="F309" s="149" t="str">
        <f>中3【S3】!$I$10</f>
        <v>学習用具・教科用語</v>
      </c>
      <c r="G309" s="149" t="str">
        <f>中3【S3】!$J$10</f>
        <v>現</v>
      </c>
      <c r="H309" s="148" t="str">
        <f>中3【S3】!$K$10</f>
        <v>理　科</v>
      </c>
      <c r="I309" s="149" t="str">
        <f>中3【S3】!$L$10</f>
        <v>天体の１年の動き</v>
      </c>
      <c r="J309" s="149" t="str">
        <f>中3【S3】!$M$10</f>
        <v>現</v>
      </c>
      <c r="K309" s="156"/>
      <c r="L309" s="139"/>
      <c r="M309" s="139"/>
      <c r="N309" s="140"/>
      <c r="O309" s="139"/>
      <c r="P309" s="139"/>
      <c r="Q309" s="140"/>
      <c r="R309" s="139"/>
      <c r="S309" s="139"/>
    </row>
    <row r="310" spans="1:20" ht="21" customHeight="1" x14ac:dyDescent="0.15">
      <c r="A310" s="147">
        <f>中3【S3】!$A$6</f>
        <v>3</v>
      </c>
      <c r="B310" s="148" t="str">
        <f>中3【S3】!$E$11</f>
        <v>算　数</v>
      </c>
      <c r="C310" s="149" t="str">
        <f>中3【S3】!$F$11</f>
        <v>円の面積（小6）</v>
      </c>
      <c r="D310" s="149" t="str">
        <f>中3【S3】!$G$11</f>
        <v>ス</v>
      </c>
      <c r="E310" s="148" t="str">
        <f>中3【S3】!$H$11</f>
        <v>社　会</v>
      </c>
      <c r="F310" s="149" t="str">
        <f>中3【S3】!$I$11</f>
        <v>政府の役割と国民の福祉</v>
      </c>
      <c r="G310" s="149" t="str">
        <f>中3【S3】!$J$11</f>
        <v>現</v>
      </c>
      <c r="H310" s="148" t="str">
        <f>中3【S3】!$K$11</f>
        <v>体　育</v>
      </c>
      <c r="I310" s="149" t="str">
        <f>中3【S3】!$L$11</f>
        <v>学習用具・教科用語</v>
      </c>
      <c r="J310" s="149" t="str">
        <f>中3【S3】!$M$11</f>
        <v>ス</v>
      </c>
      <c r="K310" s="156"/>
      <c r="L310" s="139"/>
      <c r="M310" s="139"/>
      <c r="N310" s="140"/>
      <c r="O310" s="139"/>
      <c r="P310" s="139"/>
      <c r="Q310" s="140"/>
      <c r="R310" s="139"/>
      <c r="S310" s="139"/>
    </row>
    <row r="311" spans="1:20" ht="21" customHeight="1" x14ac:dyDescent="0.15">
      <c r="A311" s="147">
        <f>中3【S3】!$A$7</f>
        <v>4</v>
      </c>
      <c r="B311" s="148" t="str">
        <f>中3【S3】!$E$12</f>
        <v>日本語</v>
      </c>
      <c r="C311" s="149" t="str">
        <f>中3【S3】!$F$12</f>
        <v>日本語能力試験</v>
      </c>
      <c r="D311" s="149" t="str">
        <f>中3【S3】!$G$12</f>
        <v>ス</v>
      </c>
      <c r="E311" s="148" t="str">
        <f>中3【S3】!$H$12</f>
        <v>日本語</v>
      </c>
      <c r="F311" s="149" t="str">
        <f>中3【S3】!$I$12</f>
        <v>家庭生活</v>
      </c>
      <c r="G311" s="149" t="str">
        <f>中3【S3】!$J$12</f>
        <v>ス</v>
      </c>
      <c r="H311" s="148" t="str">
        <f>中3【S3】!$K$12</f>
        <v>日本語</v>
      </c>
      <c r="I311" s="149" t="str">
        <f>中3【S3】!$L$12</f>
        <v>学校生活</v>
      </c>
      <c r="J311" s="149" t="str">
        <f>中3【S3】!$M$12</f>
        <v>ス</v>
      </c>
      <c r="K311" s="156"/>
      <c r="L311" s="139"/>
      <c r="M311" s="139"/>
      <c r="N311" s="140"/>
      <c r="O311" s="139"/>
      <c r="P311" s="139"/>
      <c r="Q311" s="140"/>
      <c r="R311" s="139"/>
      <c r="S311" s="139"/>
    </row>
    <row r="312" spans="1:20" ht="21" customHeight="1" x14ac:dyDescent="0.15">
      <c r="A312" s="154"/>
      <c r="B312" s="153"/>
      <c r="C312" s="154"/>
      <c r="D312" s="154"/>
      <c r="E312" s="153"/>
      <c r="F312" s="154"/>
      <c r="G312" s="154"/>
      <c r="H312" s="153"/>
      <c r="I312" s="157"/>
      <c r="J312" s="157"/>
      <c r="K312" s="140"/>
      <c r="L312" s="139"/>
      <c r="M312" s="139"/>
      <c r="N312" s="140"/>
      <c r="O312" s="139"/>
      <c r="P312" s="139"/>
      <c r="Q312" s="140"/>
      <c r="R312" s="139"/>
      <c r="S312" s="139"/>
    </row>
    <row r="313" spans="1:20" ht="21" customHeight="1" x14ac:dyDescent="0.15">
      <c r="A313" s="139"/>
      <c r="B313" s="140"/>
      <c r="C313" s="185" t="str">
        <f>中3【S4】!$C$2</f>
        <v>中3　12月　【S4】　指導ユニット　モジュール（現学年・ステップ）配当計画</v>
      </c>
      <c r="D313" s="186"/>
      <c r="E313" s="186"/>
      <c r="F313" s="186"/>
      <c r="G313" s="187"/>
      <c r="H313" s="187"/>
      <c r="I313" s="187"/>
      <c r="J313" s="187"/>
      <c r="K313" s="187"/>
      <c r="L313" s="187"/>
      <c r="M313" s="188"/>
      <c r="N313" s="187"/>
      <c r="O313" s="139"/>
      <c r="P313" s="139"/>
      <c r="Q313" s="140"/>
      <c r="R313" s="139"/>
      <c r="S313" s="139"/>
    </row>
    <row r="314" spans="1:20" ht="21" customHeight="1" x14ac:dyDescent="0.15">
      <c r="A314" s="143" t="s">
        <v>191</v>
      </c>
      <c r="B314" s="189" t="s">
        <v>192</v>
      </c>
      <c r="C314" s="190"/>
      <c r="D314" s="191"/>
      <c r="E314" s="189" t="s">
        <v>193</v>
      </c>
      <c r="F314" s="190"/>
      <c r="G314" s="191"/>
      <c r="H314" s="189" t="s">
        <v>194</v>
      </c>
      <c r="I314" s="190"/>
      <c r="J314" s="191"/>
      <c r="K314" s="189" t="s">
        <v>195</v>
      </c>
      <c r="L314" s="190"/>
      <c r="M314" s="191"/>
      <c r="N314" s="189" t="s">
        <v>196</v>
      </c>
      <c r="O314" s="190"/>
      <c r="P314" s="191"/>
      <c r="Q314" s="189" t="s">
        <v>197</v>
      </c>
      <c r="R314" s="190"/>
      <c r="S314" s="191"/>
      <c r="T314" s="9"/>
    </row>
    <row r="315" spans="1:20" ht="21" customHeight="1" x14ac:dyDescent="0.15">
      <c r="A315" s="144">
        <f>中3【S4】!$A$4</f>
        <v>1</v>
      </c>
      <c r="B315" s="145" t="str">
        <f>中3【S4】!$B$4</f>
        <v>国　語</v>
      </c>
      <c r="C315" s="146" t="str">
        <f>中3【S4】!$C$4</f>
        <v>初恋</v>
      </c>
      <c r="D315" s="146" t="str">
        <f>中3【S4】!$D$4</f>
        <v>現</v>
      </c>
      <c r="E315" s="145" t="str">
        <f>中3【S4】!$E$4</f>
        <v>国　語</v>
      </c>
      <c r="F315" s="146" t="str">
        <f>中3【S4】!$F$4</f>
        <v>「ない」の違いがわからない？</v>
      </c>
      <c r="G315" s="146" t="str">
        <f>中3【S4】!$G$4</f>
        <v>現</v>
      </c>
      <c r="H315" s="145" t="str">
        <f>中3【S4】!$H$4</f>
        <v>国　語</v>
      </c>
      <c r="I315" s="146" t="str">
        <f>中3【S4】!$I$4</f>
        <v>エルサルバドルの少女　ヘスース</v>
      </c>
      <c r="J315" s="146" t="str">
        <f>中3【S4】!$J$4</f>
        <v>現</v>
      </c>
      <c r="K315" s="145" t="str">
        <f>中3【S4】!$K$4</f>
        <v>国　語</v>
      </c>
      <c r="L315" s="146" t="str">
        <f>中3【S4】!$L$4</f>
        <v>読書記録をつける</v>
      </c>
      <c r="M315" s="146" t="str">
        <f>中3【S4】!$M$4</f>
        <v>現</v>
      </c>
      <c r="N315" s="145" t="str">
        <f>中3【S4】!$N$4</f>
        <v>国　語</v>
      </c>
      <c r="O315" s="146" t="str">
        <f>中3【S4】!$O$4</f>
        <v>本の世界を広げよう</v>
      </c>
      <c r="P315" s="146" t="str">
        <f>中3【S4】!$P$4</f>
        <v>現</v>
      </c>
      <c r="Q315" s="145" t="str">
        <f>中3【S4】!$B$9</f>
        <v>国　語</v>
      </c>
      <c r="R315" s="146" t="str">
        <f>中3【S4】!$C$9</f>
        <v>季節のしおり　冬</v>
      </c>
      <c r="S315" s="146" t="str">
        <f>中3【S4】!$D$9</f>
        <v>現</v>
      </c>
      <c r="T315" s="9"/>
    </row>
    <row r="316" spans="1:20" ht="21" customHeight="1" x14ac:dyDescent="0.15">
      <c r="A316" s="147">
        <f>中3【S4】!$A$5</f>
        <v>2</v>
      </c>
      <c r="B316" s="148" t="str">
        <f>中3【S4】!$B$5</f>
        <v>国　語</v>
      </c>
      <c r="C316" s="149" t="str">
        <f>中3【S4】!$C$5</f>
        <v>初恋</v>
      </c>
      <c r="D316" s="149" t="str">
        <f>中3【S4】!$D$5</f>
        <v>現</v>
      </c>
      <c r="E316" s="148" t="str">
        <f>中3【S4】!$E$5</f>
        <v>算　数</v>
      </c>
      <c r="F316" s="149" t="str">
        <f>中3【S4】!$F$5</f>
        <v>円周角と中心角</v>
      </c>
      <c r="G316" s="149" t="str">
        <f>中3【S4】!$G$5</f>
        <v>現</v>
      </c>
      <c r="H316" s="148" t="str">
        <f>中3【S4】!$H$5</f>
        <v>算　数</v>
      </c>
      <c r="I316" s="149" t="str">
        <f>中3【S4】!$I$5</f>
        <v>円周角と中心角</v>
      </c>
      <c r="J316" s="149" t="str">
        <f>中3【S4】!$J$5</f>
        <v>現</v>
      </c>
      <c r="K316" s="148" t="str">
        <f>中3【S4】!$K$5</f>
        <v>算　数</v>
      </c>
      <c r="L316" s="149" t="str">
        <f>中3【S4】!$L$5</f>
        <v>円の性質の利用</v>
      </c>
      <c r="M316" s="149" t="str">
        <f>中3【S4】!$M$5</f>
        <v>現</v>
      </c>
      <c r="N316" s="148" t="str">
        <f>中3【S4】!$N$5</f>
        <v>算　数</v>
      </c>
      <c r="O316" s="149" t="str">
        <f>中3【S4】!$O$5</f>
        <v>円の性質の利用</v>
      </c>
      <c r="P316" s="149" t="str">
        <f>中3【S4】!$P$5</f>
        <v>現</v>
      </c>
      <c r="Q316" s="148" t="str">
        <f>中3【S4】!$B$10</f>
        <v>図　工</v>
      </c>
      <c r="R316" s="149" t="str">
        <f>中3【S4】!$C$10</f>
        <v>学習用具・教科用語</v>
      </c>
      <c r="S316" s="149" t="str">
        <f>中3【S4】!$D$10</f>
        <v>現</v>
      </c>
      <c r="T316" s="9"/>
    </row>
    <row r="317" spans="1:20" ht="21" customHeight="1" x14ac:dyDescent="0.15">
      <c r="A317" s="147">
        <f>中3【S4】!$A$6</f>
        <v>3</v>
      </c>
      <c r="B317" s="148" t="str">
        <f>中3【S4】!$B$6</f>
        <v>算　数</v>
      </c>
      <c r="C317" s="149" t="str">
        <f>中3【S4】!$C$6</f>
        <v>円周角と中心角</v>
      </c>
      <c r="D317" s="149" t="str">
        <f>中3【S4】!$D$6</f>
        <v>現</v>
      </c>
      <c r="E317" s="148" t="str">
        <f>中3【S4】!$E$6</f>
        <v>音　楽</v>
      </c>
      <c r="F317" s="149" t="str">
        <f>中3【S4】!$F$6</f>
        <v>学習用具・教科用語</v>
      </c>
      <c r="G317" s="149" t="str">
        <f>中3【S4】!$G$6</f>
        <v>現</v>
      </c>
      <c r="H317" s="148" t="str">
        <f>中3【S4】!$H$6</f>
        <v>理　科</v>
      </c>
      <c r="I317" s="149" t="str">
        <f>中3【S4】!$I$6</f>
        <v>天体の１日の動き</v>
      </c>
      <c r="J317" s="149" t="str">
        <f>中3【S4】!$J$6</f>
        <v>現</v>
      </c>
      <c r="K317" s="148" t="str">
        <f>中3【S4】!$K$6</f>
        <v>理　科</v>
      </c>
      <c r="L317" s="149" t="str">
        <f>中3【S4】!$L$6</f>
        <v>天体の１年の動き</v>
      </c>
      <c r="M317" s="149" t="str">
        <f>中3【S4】!$M$6</f>
        <v>現</v>
      </c>
      <c r="N317" s="148" t="str">
        <f>中3【S4】!$N$6</f>
        <v>社　会</v>
      </c>
      <c r="O317" s="149" t="str">
        <f>中3【S4】!$O$6</f>
        <v>消費生活と経済</v>
      </c>
      <c r="P317" s="149" t="str">
        <f>中3【S4】!$P$6</f>
        <v>現</v>
      </c>
      <c r="Q317" s="148" t="str">
        <f>中3【S4】!$B$11</f>
        <v>社　会</v>
      </c>
      <c r="R317" s="149" t="str">
        <f>中3【S4】!$C$11</f>
        <v>政府の役割と国民の福祉</v>
      </c>
      <c r="S317" s="149" t="str">
        <f>中3【S4】!$D$11</f>
        <v>現</v>
      </c>
      <c r="T317" s="9"/>
    </row>
    <row r="318" spans="1:20" ht="21" customHeight="1" x14ac:dyDescent="0.15">
      <c r="A318" s="147">
        <f>中3【S4】!$A$7</f>
        <v>4</v>
      </c>
      <c r="B318" s="148" t="str">
        <f>中3【S4】!$B$7</f>
        <v>体　育</v>
      </c>
      <c r="C318" s="149" t="str">
        <f>中3【S4】!$C$7</f>
        <v>学習用具・教科用語</v>
      </c>
      <c r="D318" s="149" t="str">
        <f>中3【S4】!$D$7</f>
        <v>ス</v>
      </c>
      <c r="E318" s="148" t="str">
        <f>中3【S4】!$E$7</f>
        <v>日本語</v>
      </c>
      <c r="F318" s="149" t="str">
        <f>中3【S4】!$F$7</f>
        <v>日本語能力試験</v>
      </c>
      <c r="G318" s="149" t="str">
        <f>中3【S4】!$G$7</f>
        <v>ス</v>
      </c>
      <c r="H318" s="148" t="str">
        <f>中3【S4】!$H$7</f>
        <v>算　数</v>
      </c>
      <c r="I318" s="149" t="str">
        <f>中3【S4】!$I$7</f>
        <v>円の面積（小6）</v>
      </c>
      <c r="J318" s="149" t="str">
        <f>中3【S4】!$J$7</f>
        <v>ス</v>
      </c>
      <c r="K318" s="148" t="str">
        <f>中3【S4】!$K$7</f>
        <v>日本語</v>
      </c>
      <c r="L318" s="149" t="str">
        <f>中3【S4】!$L$7</f>
        <v>語彙</v>
      </c>
      <c r="M318" s="149" t="str">
        <f>中3【S4】!$M$7</f>
        <v>ス</v>
      </c>
      <c r="N318" s="148" t="str">
        <f>中3【S4】!$N$7</f>
        <v>社　会</v>
      </c>
      <c r="O318" s="149" t="str">
        <f>中3【S4】!$O$7</f>
        <v>学習用具・教科用語</v>
      </c>
      <c r="P318" s="149" t="str">
        <f>中3【S4】!$P$7</f>
        <v>ス</v>
      </c>
      <c r="Q318" s="148" t="str">
        <f>中3【S4】!$B$12</f>
        <v>理　科</v>
      </c>
      <c r="R318" s="149" t="str">
        <f>中3【S4】!$C$12</f>
        <v>学習用具・教科用語</v>
      </c>
      <c r="S318" s="149" t="str">
        <f>中3【S4】!$D$12</f>
        <v>ス</v>
      </c>
      <c r="T318" s="9"/>
    </row>
    <row r="319" spans="1:20" ht="21" customHeight="1" x14ac:dyDescent="0.15">
      <c r="A319" s="159"/>
      <c r="B319" s="159"/>
      <c r="C319" s="159"/>
      <c r="D319" s="159"/>
      <c r="E319" s="159"/>
      <c r="F319" s="159"/>
      <c r="G319" s="159"/>
      <c r="H319" s="159"/>
      <c r="I319" s="159"/>
      <c r="J319" s="159"/>
      <c r="K319" s="159"/>
      <c r="L319" s="159"/>
      <c r="M319" s="159"/>
      <c r="N319" s="159"/>
      <c r="O319" s="159"/>
      <c r="P319" s="159"/>
      <c r="Q319" s="159"/>
      <c r="R319" s="159"/>
      <c r="S319" s="159"/>
    </row>
  </sheetData>
  <mergeCells count="328">
    <mergeCell ref="C25:E25"/>
    <mergeCell ref="F25:H25"/>
    <mergeCell ref="I25:K25"/>
    <mergeCell ref="L25:N25"/>
    <mergeCell ref="C19:E19"/>
    <mergeCell ref="F19:H19"/>
    <mergeCell ref="I19:K19"/>
    <mergeCell ref="L19:N19"/>
    <mergeCell ref="C21:E21"/>
    <mergeCell ref="F21:H21"/>
    <mergeCell ref="I21:K21"/>
    <mergeCell ref="C24:E24"/>
    <mergeCell ref="F24:H24"/>
    <mergeCell ref="I24:K24"/>
    <mergeCell ref="L24:N24"/>
    <mergeCell ref="C15:E15"/>
    <mergeCell ref="C16:E16"/>
    <mergeCell ref="F15:H15"/>
    <mergeCell ref="I15:K15"/>
    <mergeCell ref="L15:N15"/>
    <mergeCell ref="F16:H16"/>
    <mergeCell ref="I16:K16"/>
    <mergeCell ref="L16:N16"/>
    <mergeCell ref="F22:H22"/>
    <mergeCell ref="I22:K22"/>
    <mergeCell ref="F18:H18"/>
    <mergeCell ref="I18:K18"/>
    <mergeCell ref="L18:N18"/>
    <mergeCell ref="C22:E22"/>
    <mergeCell ref="C18:E18"/>
    <mergeCell ref="C313:N313"/>
    <mergeCell ref="B314:D314"/>
    <mergeCell ref="E314:G314"/>
    <mergeCell ref="H314:J314"/>
    <mergeCell ref="K314:M314"/>
    <mergeCell ref="N314:P314"/>
    <mergeCell ref="Q314:S314"/>
    <mergeCell ref="C2:H2"/>
    <mergeCell ref="C4:Q4"/>
    <mergeCell ref="C6:P6"/>
    <mergeCell ref="C7:Q7"/>
    <mergeCell ref="C301:N301"/>
    <mergeCell ref="B302:D302"/>
    <mergeCell ref="E302:G302"/>
    <mergeCell ref="H302:J302"/>
    <mergeCell ref="K302:M302"/>
    <mergeCell ref="N302:P302"/>
    <mergeCell ref="Q302:S302"/>
    <mergeCell ref="B307:D307"/>
    <mergeCell ref="E307:G307"/>
    <mergeCell ref="H307:J307"/>
    <mergeCell ref="Q282:S282"/>
    <mergeCell ref="C289:N289"/>
    <mergeCell ref="B290:D290"/>
    <mergeCell ref="E290:G290"/>
    <mergeCell ref="H290:J290"/>
    <mergeCell ref="K290:M290"/>
    <mergeCell ref="N290:P290"/>
    <mergeCell ref="Q290:S290"/>
    <mergeCell ref="B295:D295"/>
    <mergeCell ref="E295:G295"/>
    <mergeCell ref="H295:J295"/>
    <mergeCell ref="K295:M295"/>
    <mergeCell ref="N295:P295"/>
    <mergeCell ref="Q295:S295"/>
    <mergeCell ref="B275:D275"/>
    <mergeCell ref="E275:G275"/>
    <mergeCell ref="H275:J275"/>
    <mergeCell ref="C281:N281"/>
    <mergeCell ref="B282:D282"/>
    <mergeCell ref="E282:G282"/>
    <mergeCell ref="H282:J282"/>
    <mergeCell ref="K282:M282"/>
    <mergeCell ref="N282:P282"/>
    <mergeCell ref="B263:D263"/>
    <mergeCell ref="E263:G263"/>
    <mergeCell ref="H263:J263"/>
    <mergeCell ref="K263:M263"/>
    <mergeCell ref="N263:P263"/>
    <mergeCell ref="Q263:S263"/>
    <mergeCell ref="C269:N269"/>
    <mergeCell ref="B270:D270"/>
    <mergeCell ref="E270:G270"/>
    <mergeCell ref="H270:J270"/>
    <mergeCell ref="K270:M270"/>
    <mergeCell ref="N270:P270"/>
    <mergeCell ref="Q270:S270"/>
    <mergeCell ref="C249:N249"/>
    <mergeCell ref="B250:D250"/>
    <mergeCell ref="E250:G250"/>
    <mergeCell ref="H250:J250"/>
    <mergeCell ref="K250:M250"/>
    <mergeCell ref="N250:P250"/>
    <mergeCell ref="Q250:S250"/>
    <mergeCell ref="C257:N257"/>
    <mergeCell ref="B258:D258"/>
    <mergeCell ref="E258:G258"/>
    <mergeCell ref="H258:J258"/>
    <mergeCell ref="K258:M258"/>
    <mergeCell ref="N258:P258"/>
    <mergeCell ref="Q258:S258"/>
    <mergeCell ref="C237:N237"/>
    <mergeCell ref="B238:D238"/>
    <mergeCell ref="E238:G238"/>
    <mergeCell ref="H238:J238"/>
    <mergeCell ref="K238:M238"/>
    <mergeCell ref="N238:P238"/>
    <mergeCell ref="Q238:S238"/>
    <mergeCell ref="B243:D243"/>
    <mergeCell ref="E243:G243"/>
    <mergeCell ref="H243:J243"/>
    <mergeCell ref="Q218:S218"/>
    <mergeCell ref="C225:N225"/>
    <mergeCell ref="B226:D226"/>
    <mergeCell ref="E226:G226"/>
    <mergeCell ref="H226:J226"/>
    <mergeCell ref="K226:M226"/>
    <mergeCell ref="N226:P226"/>
    <mergeCell ref="Q226:S226"/>
    <mergeCell ref="B231:D231"/>
    <mergeCell ref="E231:G231"/>
    <mergeCell ref="H231:J231"/>
    <mergeCell ref="K231:M231"/>
    <mergeCell ref="N231:P231"/>
    <mergeCell ref="Q231:S231"/>
    <mergeCell ref="B211:D211"/>
    <mergeCell ref="E211:G211"/>
    <mergeCell ref="H211:J211"/>
    <mergeCell ref="C217:N217"/>
    <mergeCell ref="B218:D218"/>
    <mergeCell ref="E218:G218"/>
    <mergeCell ref="H218:J218"/>
    <mergeCell ref="K218:M218"/>
    <mergeCell ref="N218:P218"/>
    <mergeCell ref="B199:D199"/>
    <mergeCell ref="E199:G199"/>
    <mergeCell ref="H199:J199"/>
    <mergeCell ref="K199:M199"/>
    <mergeCell ref="N199:P199"/>
    <mergeCell ref="Q199:S199"/>
    <mergeCell ref="C205:N205"/>
    <mergeCell ref="B206:D206"/>
    <mergeCell ref="E206:G206"/>
    <mergeCell ref="H206:J206"/>
    <mergeCell ref="K206:M206"/>
    <mergeCell ref="N206:P206"/>
    <mergeCell ref="Q206:S206"/>
    <mergeCell ref="C185:N185"/>
    <mergeCell ref="B186:D186"/>
    <mergeCell ref="E186:G186"/>
    <mergeCell ref="H186:J186"/>
    <mergeCell ref="K186:M186"/>
    <mergeCell ref="N186:P186"/>
    <mergeCell ref="Q186:S186"/>
    <mergeCell ref="C193:N193"/>
    <mergeCell ref="B194:D194"/>
    <mergeCell ref="E194:G194"/>
    <mergeCell ref="H194:J194"/>
    <mergeCell ref="K194:M194"/>
    <mergeCell ref="N194:P194"/>
    <mergeCell ref="Q194:S194"/>
    <mergeCell ref="C173:N173"/>
    <mergeCell ref="B174:D174"/>
    <mergeCell ref="E174:G174"/>
    <mergeCell ref="H174:J174"/>
    <mergeCell ref="K174:M174"/>
    <mergeCell ref="N174:P174"/>
    <mergeCell ref="Q174:S174"/>
    <mergeCell ref="B179:D179"/>
    <mergeCell ref="E179:G179"/>
    <mergeCell ref="H179:J179"/>
    <mergeCell ref="Q154:S154"/>
    <mergeCell ref="C161:N161"/>
    <mergeCell ref="B162:D162"/>
    <mergeCell ref="E162:G162"/>
    <mergeCell ref="H162:J162"/>
    <mergeCell ref="K162:M162"/>
    <mergeCell ref="N162:P162"/>
    <mergeCell ref="Q162:S162"/>
    <mergeCell ref="B167:D167"/>
    <mergeCell ref="E167:G167"/>
    <mergeCell ref="H167:J167"/>
    <mergeCell ref="K167:M167"/>
    <mergeCell ref="N167:P167"/>
    <mergeCell ref="Q167:S167"/>
    <mergeCell ref="B147:D147"/>
    <mergeCell ref="E147:G147"/>
    <mergeCell ref="H147:J147"/>
    <mergeCell ref="C153:N153"/>
    <mergeCell ref="B154:D154"/>
    <mergeCell ref="E154:G154"/>
    <mergeCell ref="H154:J154"/>
    <mergeCell ref="K154:M154"/>
    <mergeCell ref="N154:P154"/>
    <mergeCell ref="B135:D135"/>
    <mergeCell ref="E135:G135"/>
    <mergeCell ref="H135:J135"/>
    <mergeCell ref="K135:M135"/>
    <mergeCell ref="N135:P135"/>
    <mergeCell ref="Q135:S135"/>
    <mergeCell ref="C141:N141"/>
    <mergeCell ref="B142:D142"/>
    <mergeCell ref="E142:G142"/>
    <mergeCell ref="H142:J142"/>
    <mergeCell ref="K142:M142"/>
    <mergeCell ref="N142:P142"/>
    <mergeCell ref="Q142:S142"/>
    <mergeCell ref="C121:N121"/>
    <mergeCell ref="B122:D122"/>
    <mergeCell ref="E122:G122"/>
    <mergeCell ref="H122:J122"/>
    <mergeCell ref="K122:M122"/>
    <mergeCell ref="N122:P122"/>
    <mergeCell ref="Q122:S122"/>
    <mergeCell ref="C129:N129"/>
    <mergeCell ref="B130:D130"/>
    <mergeCell ref="E130:G130"/>
    <mergeCell ref="H130:J130"/>
    <mergeCell ref="K130:M130"/>
    <mergeCell ref="N130:P130"/>
    <mergeCell ref="Q130:S130"/>
    <mergeCell ref="C109:N109"/>
    <mergeCell ref="B110:D110"/>
    <mergeCell ref="E110:G110"/>
    <mergeCell ref="H110:J110"/>
    <mergeCell ref="K110:M110"/>
    <mergeCell ref="N110:P110"/>
    <mergeCell ref="Q110:S110"/>
    <mergeCell ref="B115:D115"/>
    <mergeCell ref="E115:G115"/>
    <mergeCell ref="H115:J115"/>
    <mergeCell ref="Q90:S90"/>
    <mergeCell ref="C97:N97"/>
    <mergeCell ref="B98:D98"/>
    <mergeCell ref="E98:G98"/>
    <mergeCell ref="H98:J98"/>
    <mergeCell ref="K98:M98"/>
    <mergeCell ref="N98:P98"/>
    <mergeCell ref="Q98:S98"/>
    <mergeCell ref="B103:D103"/>
    <mergeCell ref="E103:G103"/>
    <mergeCell ref="H103:J103"/>
    <mergeCell ref="K103:M103"/>
    <mergeCell ref="N103:P103"/>
    <mergeCell ref="Q103:S103"/>
    <mergeCell ref="B83:D83"/>
    <mergeCell ref="E83:G83"/>
    <mergeCell ref="H83:J83"/>
    <mergeCell ref="C89:N89"/>
    <mergeCell ref="B90:D90"/>
    <mergeCell ref="E90:G90"/>
    <mergeCell ref="H90:J90"/>
    <mergeCell ref="K90:M90"/>
    <mergeCell ref="N90:P90"/>
    <mergeCell ref="B71:D71"/>
    <mergeCell ref="E71:G71"/>
    <mergeCell ref="H71:J71"/>
    <mergeCell ref="K71:M71"/>
    <mergeCell ref="N71:P71"/>
    <mergeCell ref="Q71:S71"/>
    <mergeCell ref="C77:N77"/>
    <mergeCell ref="B78:D78"/>
    <mergeCell ref="E78:G78"/>
    <mergeCell ref="H78:J78"/>
    <mergeCell ref="K78:M78"/>
    <mergeCell ref="N78:P78"/>
    <mergeCell ref="Q78:S78"/>
    <mergeCell ref="C57:N57"/>
    <mergeCell ref="B58:D58"/>
    <mergeCell ref="E58:G58"/>
    <mergeCell ref="H58:J58"/>
    <mergeCell ref="K58:M58"/>
    <mergeCell ref="N58:P58"/>
    <mergeCell ref="Q58:S58"/>
    <mergeCell ref="C65:N65"/>
    <mergeCell ref="B66:D66"/>
    <mergeCell ref="E66:G66"/>
    <mergeCell ref="H66:J66"/>
    <mergeCell ref="K66:M66"/>
    <mergeCell ref="N66:P66"/>
    <mergeCell ref="Q66:S66"/>
    <mergeCell ref="C45:N45"/>
    <mergeCell ref="B46:D46"/>
    <mergeCell ref="E46:G46"/>
    <mergeCell ref="H46:J46"/>
    <mergeCell ref="K46:M46"/>
    <mergeCell ref="N46:P46"/>
    <mergeCell ref="Q46:S46"/>
    <mergeCell ref="B51:D51"/>
    <mergeCell ref="E51:G51"/>
    <mergeCell ref="H51:J51"/>
    <mergeCell ref="C33:N33"/>
    <mergeCell ref="B34:D34"/>
    <mergeCell ref="E34:G34"/>
    <mergeCell ref="H34:J34"/>
    <mergeCell ref="K34:M34"/>
    <mergeCell ref="N34:P34"/>
    <mergeCell ref="Q34:S34"/>
    <mergeCell ref="B39:D39"/>
    <mergeCell ref="E39:G39"/>
    <mergeCell ref="H39:J39"/>
    <mergeCell ref="K39:M39"/>
    <mergeCell ref="N39:P39"/>
    <mergeCell ref="Q39:S39"/>
    <mergeCell ref="C31:E31"/>
    <mergeCell ref="F31:H31"/>
    <mergeCell ref="I31:K31"/>
    <mergeCell ref="L31:N31"/>
    <mergeCell ref="L21:N21"/>
    <mergeCell ref="L22:N22"/>
    <mergeCell ref="O24:Q24"/>
    <mergeCell ref="O27:Q27"/>
    <mergeCell ref="O28:Q28"/>
    <mergeCell ref="O30:Q30"/>
    <mergeCell ref="O31:Q31"/>
    <mergeCell ref="O25:Q25"/>
    <mergeCell ref="C27:E27"/>
    <mergeCell ref="F27:H27"/>
    <mergeCell ref="I27:K27"/>
    <mergeCell ref="L27:N27"/>
    <mergeCell ref="C28:E28"/>
    <mergeCell ref="F28:H28"/>
    <mergeCell ref="I28:K28"/>
    <mergeCell ref="L28:N28"/>
    <mergeCell ref="C30:E30"/>
    <mergeCell ref="F30:H30"/>
    <mergeCell ref="I30:K30"/>
    <mergeCell ref="L30:N30"/>
  </mergeCells>
  <phoneticPr fontId="39"/>
  <pageMargins left="0.78740200000000005" right="0.78740200000000005" top="0.73621999999999999" bottom="0.73621999999999999" header="0.59055100000000005" footer="0.58897600000000006"/>
  <pageSetup paperSize="12" pageOrder="overThenDown" orientation="landscape" r:id="rId1"/>
  <headerFooter>
    <oddHeader>&amp;L岩倉市日本語・ポルトガル語適応指導教室&amp;C&amp;R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E37" sqref="E37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418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406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2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407</v>
      </c>
      <c r="U3" s="93">
        <f>COUNTIF(C21:O34,"=2")</f>
        <v>1</v>
      </c>
      <c r="V3" s="195"/>
      <c r="W3" s="9"/>
      <c r="X3" s="96" t="s">
        <v>211</v>
      </c>
      <c r="Y3" s="95" t="s">
        <v>212</v>
      </c>
      <c r="Z3" s="93">
        <f>COUNTIF(B21:P34,"=b")</f>
        <v>7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初恋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「ない」の違いがわからない？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エルサルバドルの少女　ヘスース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読書記録をつける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本の世界を広げよう</v>
      </c>
      <c r="P4" s="87" t="str">
        <f>LOOKUP(P21,$X$2:$Y$43,$Y$2:$Y$43)</f>
        <v>現</v>
      </c>
      <c r="Q4" s="9"/>
      <c r="R4" s="195"/>
      <c r="S4" s="94">
        <v>3</v>
      </c>
      <c r="T4" s="95" t="s">
        <v>408</v>
      </c>
      <c r="U4" s="93">
        <f>COUNTIF(C21:O34,"=3")</f>
        <v>1</v>
      </c>
      <c r="V4" s="195"/>
      <c r="W4" s="9"/>
      <c r="X4" s="96" t="s">
        <v>214</v>
      </c>
      <c r="Y4" s="95" t="s">
        <v>215</v>
      </c>
      <c r="Z4" s="93">
        <f>COUNTIF(B21:P34,"=c")</f>
        <v>6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初恋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円周角と中心角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円周角と中心角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円の性質の利用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円の性質の利用</v>
      </c>
      <c r="P5" s="101" t="str">
        <f>LOOKUP(P22,$X$2:$Y$43,$Y$2:$Y$43)</f>
        <v>現</v>
      </c>
      <c r="Q5" s="9"/>
      <c r="R5" s="195"/>
      <c r="S5" s="94">
        <v>4</v>
      </c>
      <c r="T5" s="95" t="s">
        <v>409</v>
      </c>
      <c r="U5" s="93">
        <f>COUNTIF(C21:O34,"=4")</f>
        <v>1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円周角と中心角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理　科</v>
      </c>
      <c r="I6" s="101" t="str">
        <f>LOOKUP(I23,$S$2:$T$69,$T$2:$T$69)</f>
        <v>天体の１日の動き</v>
      </c>
      <c r="J6" s="101" t="str">
        <f t="shared" si="2"/>
        <v>現</v>
      </c>
      <c r="K6" s="100" t="str">
        <f t="shared" si="2"/>
        <v>理　科</v>
      </c>
      <c r="L6" s="101" t="str">
        <f>LOOKUP(L23,$S$2:$T$69,$T$2:$T$69)</f>
        <v>天体の１年の動き</v>
      </c>
      <c r="M6" s="101" t="str">
        <f t="shared" si="3"/>
        <v>現</v>
      </c>
      <c r="N6" s="100" t="str">
        <f t="shared" si="3"/>
        <v>社　会</v>
      </c>
      <c r="O6" s="101" t="str">
        <f>LOOKUP(O23,$S$2:$T$69,$T$2:$T$69)</f>
        <v>消費生活と経済</v>
      </c>
      <c r="P6" s="101" t="str">
        <f>LOOKUP(P23,$X$2:$Y$43,$Y$2:$Y$43)</f>
        <v>現</v>
      </c>
      <c r="Q6" s="9"/>
      <c r="R6" s="195"/>
      <c r="S6" s="94">
        <v>5</v>
      </c>
      <c r="T6" s="95" t="s">
        <v>373</v>
      </c>
      <c r="U6" s="93">
        <f>COUNTIF(C21:O34,"=5")</f>
        <v>1</v>
      </c>
      <c r="V6" s="195"/>
      <c r="W6" s="9"/>
      <c r="X6" s="96" t="s">
        <v>220</v>
      </c>
      <c r="Y6" s="95" t="s">
        <v>221</v>
      </c>
      <c r="Z6" s="93">
        <f>COUNTIF(B21:P34,"=e")</f>
        <v>3</v>
      </c>
      <c r="AA6" s="9"/>
    </row>
    <row r="7" spans="1:27" ht="14.1" customHeight="1" x14ac:dyDescent="0.15">
      <c r="A7" s="99">
        <v>4</v>
      </c>
      <c r="B7" s="100" t="str">
        <f>LOOKUP(B24,$X$2:$Y$43,$Y$2:$Y$43)</f>
        <v>体　育</v>
      </c>
      <c r="C7" s="101" t="str">
        <f>LOOKUP(C24,$S$2:$T$69,$T$2:$T$69)</f>
        <v>学習用具・教科用語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円の面積（小6）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語彙</v>
      </c>
      <c r="M7" s="101" t="str">
        <f t="shared" si="3"/>
        <v>ス</v>
      </c>
      <c r="N7" s="100" t="str">
        <f t="shared" si="3"/>
        <v>社　会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95"/>
      <c r="S7" s="94">
        <v>6</v>
      </c>
      <c r="T7" s="95" t="s">
        <v>374</v>
      </c>
      <c r="U7" s="93">
        <f>COUNTIF(C21:O34,"=6")</f>
        <v>1</v>
      </c>
      <c r="V7" s="195"/>
      <c r="W7" s="9"/>
      <c r="X7" s="96" t="s">
        <v>223</v>
      </c>
      <c r="Y7" s="95" t="s">
        <v>224</v>
      </c>
      <c r="Z7" s="93">
        <f>COUNTIF(B21:P34,"=f")</f>
        <v>3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季節のしおり　冬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7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社　会</v>
      </c>
      <c r="C11" s="101" t="str">
        <f>LOOKUP(C28,$S$2:$T$69,$T$2:$T$69)</f>
        <v>政府の役割と国民の福祉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/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理　科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/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0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0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7</v>
      </c>
      <c r="V18" s="195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410</v>
      </c>
      <c r="U19" s="88">
        <f>COUNTIF(C21:O34,"=22")</f>
        <v>3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411</v>
      </c>
      <c r="U20" s="93">
        <f>COUNTIF(C21:O34,"=23")</f>
        <v>2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3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211</v>
      </c>
      <c r="O21" s="114">
        <v>5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23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220</v>
      </c>
      <c r="I23" s="117">
        <v>40</v>
      </c>
      <c r="J23" s="118">
        <v>50</v>
      </c>
      <c r="K23" s="116" t="s">
        <v>220</v>
      </c>
      <c r="L23" s="117">
        <v>41</v>
      </c>
      <c r="M23" s="118">
        <v>50</v>
      </c>
      <c r="N23" s="116" t="s">
        <v>223</v>
      </c>
      <c r="O23" s="117">
        <v>35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234</v>
      </c>
      <c r="C24" s="117">
        <v>47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29</v>
      </c>
      <c r="J24" s="119">
        <v>51</v>
      </c>
      <c r="K24" s="116" t="s">
        <v>209</v>
      </c>
      <c r="L24" s="117">
        <v>57</v>
      </c>
      <c r="M24" s="119">
        <v>51</v>
      </c>
      <c r="N24" s="116" t="s">
        <v>223</v>
      </c>
      <c r="O24" s="117">
        <v>39</v>
      </c>
      <c r="P24" s="119">
        <v>51</v>
      </c>
      <c r="Q24" s="9"/>
      <c r="R24" s="195"/>
      <c r="S24" s="86">
        <v>27</v>
      </c>
      <c r="T24" s="91" t="s">
        <v>380</v>
      </c>
      <c r="U24" s="88">
        <f>COUNTIF(C21:O34,"=27")</f>
        <v>0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382</v>
      </c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6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412</v>
      </c>
      <c r="U26" s="93">
        <f>COUNTIF(C21:O34,"=29")</f>
        <v>1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223</v>
      </c>
      <c r="C28" s="117">
        <v>36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220</v>
      </c>
      <c r="C29" s="117">
        <v>44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1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6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 t="s">
        <v>413</v>
      </c>
      <c r="U33" s="88">
        <f>COUNTIF(C21:O34,"=35")</f>
        <v>1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 t="s">
        <v>414</v>
      </c>
      <c r="U34" s="93">
        <f>COUNTIF(C21:O34,"=36")</f>
        <v>1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3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3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3">
        <f>COUNTIF(C21:O34,"=39")</f>
        <v>1</v>
      </c>
      <c r="V37" s="195"/>
      <c r="W37" s="9"/>
      <c r="X37" s="2"/>
    </row>
    <row r="38" spans="1:24" ht="15.6" customHeight="1" x14ac:dyDescent="0.2">
      <c r="B38" s="78" t="s">
        <v>190</v>
      </c>
      <c r="I38" s="25"/>
      <c r="J38" s="25"/>
      <c r="K38" s="25"/>
      <c r="R38" s="195"/>
      <c r="S38" s="88"/>
      <c r="T38" s="108" t="s">
        <v>256</v>
      </c>
      <c r="U38" s="105">
        <f>SUM(U33:U37)</f>
        <v>3</v>
      </c>
      <c r="V38" s="195"/>
      <c r="W38" s="9"/>
      <c r="X38" s="2"/>
    </row>
    <row r="39" spans="1:24" ht="14.25" x14ac:dyDescent="0.15">
      <c r="A39" s="201" t="s">
        <v>68</v>
      </c>
      <c r="B39" s="202"/>
      <c r="C39" s="211" t="s">
        <v>90</v>
      </c>
      <c r="D39" s="202"/>
      <c r="E39" s="202"/>
      <c r="F39" s="211" t="s">
        <v>385</v>
      </c>
      <c r="G39" s="202"/>
      <c r="H39" s="202"/>
      <c r="I39" s="211" t="s">
        <v>146</v>
      </c>
      <c r="J39" s="204"/>
      <c r="K39" s="204"/>
      <c r="L39" s="211" t="s">
        <v>311</v>
      </c>
      <c r="M39" s="202"/>
      <c r="N39" s="202"/>
      <c r="O39" s="133" t="s">
        <v>257</v>
      </c>
      <c r="P39" s="9"/>
      <c r="R39" s="194" t="s">
        <v>258</v>
      </c>
      <c r="S39" s="128">
        <v>40</v>
      </c>
      <c r="T39" s="91" t="s">
        <v>415</v>
      </c>
      <c r="U39" s="88">
        <f>COUNTIF(C21:O34,"=40")</f>
        <v>1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140</v>
      </c>
      <c r="D40" s="207"/>
      <c r="E40" s="207"/>
      <c r="F40" s="206" t="s">
        <v>114</v>
      </c>
      <c r="G40" s="207"/>
      <c r="H40" s="207"/>
      <c r="I40" s="206" t="s">
        <v>136</v>
      </c>
      <c r="J40" s="208"/>
      <c r="K40" s="208"/>
      <c r="L40" s="206" t="s">
        <v>108</v>
      </c>
      <c r="M40" s="207"/>
      <c r="N40" s="207"/>
      <c r="O40" s="134" t="s">
        <v>281</v>
      </c>
      <c r="P40" s="9"/>
      <c r="R40" s="195"/>
      <c r="S40" s="129">
        <v>41</v>
      </c>
      <c r="T40" s="95" t="s">
        <v>416</v>
      </c>
      <c r="U40" s="93">
        <f>COUNTIF(C21:O34,"=41")</f>
        <v>1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114</v>
      </c>
      <c r="D41" s="207"/>
      <c r="E41" s="207"/>
      <c r="F41" s="206" t="s">
        <v>116</v>
      </c>
      <c r="G41" s="207"/>
      <c r="H41" s="207"/>
      <c r="I41" s="206" t="s">
        <v>141</v>
      </c>
      <c r="J41" s="208"/>
      <c r="K41" s="208"/>
      <c r="L41" s="206" t="s">
        <v>116</v>
      </c>
      <c r="M41" s="207"/>
      <c r="N41" s="207"/>
      <c r="O41" s="134" t="s">
        <v>282</v>
      </c>
      <c r="P41" s="9"/>
      <c r="R41" s="195"/>
      <c r="S41" s="129">
        <v>42</v>
      </c>
      <c r="T41" s="95"/>
      <c r="U41" s="93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142</v>
      </c>
      <c r="D42" s="207"/>
      <c r="E42" s="207"/>
      <c r="F42" s="206" t="s">
        <v>115</v>
      </c>
      <c r="G42" s="207"/>
      <c r="H42" s="207"/>
      <c r="I42" s="206" t="s">
        <v>116</v>
      </c>
      <c r="J42" s="208"/>
      <c r="K42" s="208"/>
      <c r="L42" s="206" t="s">
        <v>115</v>
      </c>
      <c r="M42" s="207"/>
      <c r="N42" s="207"/>
      <c r="O42" s="134" t="s">
        <v>283</v>
      </c>
      <c r="P42" s="9"/>
      <c r="R42" s="195"/>
      <c r="S42" s="129">
        <v>43</v>
      </c>
      <c r="T42" s="95"/>
      <c r="U42" s="93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195"/>
      <c r="S43" s="129">
        <v>44</v>
      </c>
      <c r="T43" s="95" t="s">
        <v>255</v>
      </c>
      <c r="U43" s="93">
        <f>COUNTIF(C21:O34,"=44")</f>
        <v>1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3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0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1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2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 r:id="rId1"/>
  <headerFooter>
    <oddHeader>&amp;L岩倉市日本語・ポルトガル語適応指導教室&amp;C&amp;R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topLeftCell="A7" colorId="22" workbookViewId="0">
      <selection activeCell="B38" sqref="A38:L42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205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207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16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210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かたかなをかこう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かたかなをかこう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まのいいりょうし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まのいいりょうし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むかしばなしがいっぱい</v>
      </c>
      <c r="P4" s="87" t="str">
        <f>LOOKUP(P21,$X$2:$Y$43,$Y$2:$Y$43)</f>
        <v>現</v>
      </c>
      <c r="Q4" s="9"/>
      <c r="R4" s="195"/>
      <c r="S4" s="94">
        <v>3</v>
      </c>
      <c r="T4" s="95" t="s">
        <v>213</v>
      </c>
      <c r="U4" s="93">
        <f>COUNTIF(C21:O34,"=3")</f>
        <v>2</v>
      </c>
      <c r="V4" s="195"/>
      <c r="W4" s="9"/>
      <c r="X4" s="96" t="s">
        <v>214</v>
      </c>
      <c r="Y4" s="95" t="s">
        <v>215</v>
      </c>
      <c r="Z4" s="93">
        <f>COUNTIF(B21:P34,"=c")</f>
        <v>14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たすのかなひくのかな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たすのかなひくのかな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０の　たしざんとひきざん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95"/>
      <c r="S5" s="94">
        <v>4</v>
      </c>
      <c r="T5" s="95" t="s">
        <v>216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かたかなをみつけよう（小1）</v>
      </c>
      <c r="D6" s="101" t="str">
        <f t="shared" si="0"/>
        <v>ス</v>
      </c>
      <c r="E6" s="100" t="str">
        <f t="shared" si="0"/>
        <v>国　語</v>
      </c>
      <c r="F6" s="101" t="str">
        <f>LOOKUP(F23,$S$2:$T$69,$T$2:$T$69)</f>
        <v>かたかなをみつけよう（小1）</v>
      </c>
      <c r="G6" s="101" t="str">
        <f t="shared" si="1"/>
        <v>ス</v>
      </c>
      <c r="H6" s="100" t="str">
        <f t="shared" si="1"/>
        <v>日本語</v>
      </c>
      <c r="I6" s="101" t="str">
        <f>LOOKUP(I23,$S$2:$T$69,$T$2:$T$69)</f>
        <v>学校生活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算　数</v>
      </c>
      <c r="O6" s="101" t="str">
        <f>LOOKUP(O23,$S$2:$T$69,$T$2:$T$69)</f>
        <v>たしざん（小1）</v>
      </c>
      <c r="P6" s="101" t="str">
        <f>LOOKUP(P23,$X$2:$Y$43,$Y$2:$Y$43)</f>
        <v>ス</v>
      </c>
      <c r="Q6" s="9"/>
      <c r="R6" s="195"/>
      <c r="S6" s="94">
        <v>5</v>
      </c>
      <c r="T6" s="95" t="s">
        <v>219</v>
      </c>
      <c r="U6" s="93">
        <f>COUNTIF(C21:O34,"=5")</f>
        <v>2</v>
      </c>
      <c r="V6" s="195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ふえたりへったり（小1）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ふえたりへったり（小1）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ふえたりへったり（小1）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家庭生活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95"/>
      <c r="S7" s="94">
        <v>6</v>
      </c>
      <c r="T7" s="95" t="s">
        <v>222</v>
      </c>
      <c r="U7" s="93">
        <f>COUNTIF(C21:O34,"=6")</f>
        <v>2</v>
      </c>
      <c r="V7" s="195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むかしばなしがいっぱい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ともだちに、きいてみよう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ともだちに、きいてみよう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日づけとよう日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ずうっと、ずっと、大すきだよ</v>
      </c>
      <c r="P9" s="87" t="str">
        <f>LOOKUP(P26,$X$2:$Y$43,$Y$2:$Y$43)</f>
        <v>現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算　数</v>
      </c>
      <c r="C10" s="101" t="str">
        <f>LOOKUP(C27,$S$2:$T$69,$T$2:$T$69)</f>
        <v>たしざん（小1）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０の　たしざんとひきざん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日づけとよう日</v>
      </c>
      <c r="M10" s="101" t="str">
        <f t="shared" si="7"/>
        <v>現</v>
      </c>
      <c r="N10" s="100" t="str">
        <f t="shared" si="7"/>
        <v>算　数</v>
      </c>
      <c r="O10" s="101" t="str">
        <f>LOOKUP(O27,$S$2:$T$69,$T$2:$T$69)</f>
        <v>ものとひとのかず</v>
      </c>
      <c r="P10" s="101" t="str">
        <f>LOOKUP(P27,$X$2:$Y$43,$Y$2:$Y$43)</f>
        <v>現</v>
      </c>
      <c r="Q10" s="9"/>
      <c r="R10" s="195"/>
      <c r="S10" s="88"/>
      <c r="T10" s="104" t="s">
        <v>229</v>
      </c>
      <c r="U10" s="105">
        <f>SUM(U2:U9)</f>
        <v>12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日本語</v>
      </c>
      <c r="F11" s="101" t="str">
        <f>LOOKUP(F28,$S$2:$T$69,$T$2:$T$69)</f>
        <v>家庭生活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語彙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語彙</v>
      </c>
      <c r="P11" s="101" t="str">
        <f>LOOKUP(P28,$X$2:$Y$43,$Y$2:$Y$43)</f>
        <v>ス</v>
      </c>
      <c r="Q11" s="9"/>
      <c r="R11" s="195"/>
      <c r="S11" s="86">
        <v>10</v>
      </c>
      <c r="T11" s="91" t="s">
        <v>232</v>
      </c>
      <c r="U11" s="88">
        <f>COUNTIF(C21:O34,"=10")</f>
        <v>2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学校生活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ひきざん（小1）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ひきざん（小1）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95"/>
      <c r="S12" s="94">
        <v>11</v>
      </c>
      <c r="T12" s="95"/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ずうっと、ずっと、大すきだよ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ものとひとのかず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家庭生活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ひきざん（小1）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日本の文化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生活科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学校生活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2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14</v>
      </c>
      <c r="V18" s="195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244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246</v>
      </c>
      <c r="U20" s="93">
        <f>COUNTIF(C21:O34,"=23")</f>
        <v>2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95"/>
      <c r="S21" s="94">
        <v>24</v>
      </c>
      <c r="T21" s="95" t="s">
        <v>247</v>
      </c>
      <c r="U21" s="93">
        <f>COUNTIF(C21:O34,"=24")</f>
        <v>2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23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211</v>
      </c>
      <c r="F23" s="117">
        <v>10</v>
      </c>
      <c r="G23" s="119">
        <v>51</v>
      </c>
      <c r="H23" s="116" t="s">
        <v>209</v>
      </c>
      <c r="I23" s="117">
        <v>59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214</v>
      </c>
      <c r="O23" s="117">
        <v>28</v>
      </c>
      <c r="P23" s="119">
        <v>51</v>
      </c>
      <c r="Q23" s="9"/>
      <c r="R23" s="195"/>
      <c r="S23" s="88"/>
      <c r="T23" s="104" t="s">
        <v>229</v>
      </c>
      <c r="U23" s="105">
        <f>SUM(U19:U22)</f>
        <v>6</v>
      </c>
      <c r="V23" s="19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58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95"/>
      <c r="S24" s="86">
        <v>27</v>
      </c>
      <c r="T24" s="91" t="s">
        <v>248</v>
      </c>
      <c r="U24" s="88">
        <f>COUNTIF(C21:O34,"=27")</f>
        <v>3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249</v>
      </c>
      <c r="U25" s="93">
        <f>COUNTIF(C21:O34,"=28")</f>
        <v>2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5</v>
      </c>
      <c r="M26" s="115">
        <v>50</v>
      </c>
      <c r="N26" s="113" t="s">
        <v>211</v>
      </c>
      <c r="O26" s="114">
        <v>6</v>
      </c>
      <c r="P26" s="115">
        <v>50</v>
      </c>
      <c r="Q26" s="9"/>
      <c r="R26" s="195"/>
      <c r="S26" s="94">
        <v>29</v>
      </c>
      <c r="T26" s="95" t="s">
        <v>250</v>
      </c>
      <c r="U26" s="93">
        <f>COUNTIF(C21:O34,"=29")</f>
        <v>3</v>
      </c>
      <c r="V26" s="195"/>
      <c r="W26" s="9"/>
      <c r="X26" s="2"/>
    </row>
    <row r="27" spans="1:27" ht="15" customHeight="1" x14ac:dyDescent="0.15">
      <c r="A27" s="99">
        <v>6</v>
      </c>
      <c r="B27" s="116" t="s">
        <v>214</v>
      </c>
      <c r="C27" s="117">
        <v>28</v>
      </c>
      <c r="D27" s="119">
        <v>51</v>
      </c>
      <c r="E27" s="116" t="s">
        <v>227</v>
      </c>
      <c r="F27" s="117">
        <v>47</v>
      </c>
      <c r="G27" s="118">
        <v>50</v>
      </c>
      <c r="H27" s="116" t="s">
        <v>214</v>
      </c>
      <c r="I27" s="117">
        <v>23</v>
      </c>
      <c r="J27" s="118">
        <v>50</v>
      </c>
      <c r="K27" s="116" t="s">
        <v>211</v>
      </c>
      <c r="L27" s="117">
        <v>5</v>
      </c>
      <c r="M27" s="118">
        <v>50</v>
      </c>
      <c r="N27" s="116" t="s">
        <v>214</v>
      </c>
      <c r="O27" s="117">
        <v>24</v>
      </c>
      <c r="P27" s="118">
        <v>50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209</v>
      </c>
      <c r="F28" s="117">
        <v>58</v>
      </c>
      <c r="G28" s="119">
        <v>51</v>
      </c>
      <c r="H28" s="116" t="s">
        <v>209</v>
      </c>
      <c r="I28" s="117">
        <v>59</v>
      </c>
      <c r="J28" s="119">
        <v>51</v>
      </c>
      <c r="K28" s="116" t="s">
        <v>209</v>
      </c>
      <c r="L28" s="117">
        <v>57</v>
      </c>
      <c r="M28" s="119">
        <v>51</v>
      </c>
      <c r="N28" s="116" t="s">
        <v>209</v>
      </c>
      <c r="O28" s="117">
        <v>57</v>
      </c>
      <c r="P28" s="119">
        <v>51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209</v>
      </c>
      <c r="F29" s="117">
        <v>59</v>
      </c>
      <c r="G29" s="119">
        <v>51</v>
      </c>
      <c r="H29" s="116" t="s">
        <v>214</v>
      </c>
      <c r="I29" s="117">
        <v>29</v>
      </c>
      <c r="J29" s="119">
        <v>51</v>
      </c>
      <c r="K29" s="116" t="s">
        <v>214</v>
      </c>
      <c r="L29" s="117">
        <v>29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6</v>
      </c>
      <c r="D31" s="115">
        <v>50</v>
      </c>
      <c r="E31" s="113" t="s">
        <v>214</v>
      </c>
      <c r="F31" s="114">
        <v>24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8</v>
      </c>
      <c r="V31" s="19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58</v>
      </c>
      <c r="D32" s="119">
        <v>51</v>
      </c>
      <c r="E32" s="116" t="s">
        <v>214</v>
      </c>
      <c r="F32" s="117">
        <v>29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14</v>
      </c>
      <c r="V32" s="19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/>
      <c r="U33" s="91">
        <f>COUNTIF(C21:O34,"=35")</f>
        <v>0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16" t="s">
        <v>236</v>
      </c>
      <c r="C34" s="117">
        <v>47</v>
      </c>
      <c r="D34" s="119">
        <v>51</v>
      </c>
      <c r="E34" s="116" t="s">
        <v>209</v>
      </c>
      <c r="F34" s="117">
        <v>59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5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5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5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5">
        <f>COUNTIF(C21:O34,"=39")</f>
        <v>0</v>
      </c>
      <c r="V37" s="195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195"/>
      <c r="S38" s="88"/>
      <c r="T38" s="108" t="s">
        <v>256</v>
      </c>
      <c r="U38" s="105">
        <f>SUM(U33:U37)</f>
        <v>0</v>
      </c>
      <c r="V38" s="195"/>
      <c r="W38" s="9"/>
      <c r="X38" s="2"/>
    </row>
    <row r="39" spans="1:24" ht="14.25" x14ac:dyDescent="0.15">
      <c r="A39" s="201" t="s">
        <v>68</v>
      </c>
      <c r="B39" s="202"/>
      <c r="C39" s="203" t="s">
        <v>90</v>
      </c>
      <c r="D39" s="202"/>
      <c r="E39" s="202"/>
      <c r="F39" s="203" t="s">
        <v>70</v>
      </c>
      <c r="G39" s="202"/>
      <c r="H39" s="202"/>
      <c r="I39" s="203" t="s">
        <v>91</v>
      </c>
      <c r="J39" s="204"/>
      <c r="K39" s="204"/>
      <c r="L39" s="133" t="s">
        <v>257</v>
      </c>
      <c r="M39" s="9"/>
      <c r="R39" s="194" t="s">
        <v>258</v>
      </c>
      <c r="S39" s="128">
        <v>40</v>
      </c>
      <c r="T39" s="91"/>
      <c r="U39" s="91">
        <f>COUNTIF(C21:O34,"=40")</f>
        <v>0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169</v>
      </c>
      <c r="D40" s="207"/>
      <c r="E40" s="207"/>
      <c r="F40" s="206" t="s">
        <v>170</v>
      </c>
      <c r="G40" s="207"/>
      <c r="H40" s="207"/>
      <c r="I40" s="206" t="s">
        <v>154</v>
      </c>
      <c r="J40" s="208"/>
      <c r="K40" s="208"/>
      <c r="L40" s="134" t="s">
        <v>259</v>
      </c>
      <c r="M40" s="9"/>
      <c r="R40" s="195"/>
      <c r="S40" s="129">
        <v>41</v>
      </c>
      <c r="T40" s="95"/>
      <c r="U40" s="95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171</v>
      </c>
      <c r="D41" s="207"/>
      <c r="E41" s="207"/>
      <c r="F41" s="206" t="s">
        <v>94</v>
      </c>
      <c r="G41" s="207"/>
      <c r="H41" s="207"/>
      <c r="I41" s="206" t="s">
        <v>172</v>
      </c>
      <c r="J41" s="208"/>
      <c r="K41" s="208"/>
      <c r="L41" s="134" t="s">
        <v>260</v>
      </c>
      <c r="M41" s="9"/>
      <c r="R41" s="195"/>
      <c r="S41" s="129">
        <v>42</v>
      </c>
      <c r="T41" s="95"/>
      <c r="U41" s="95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173</v>
      </c>
      <c r="D42" s="207"/>
      <c r="E42" s="207"/>
      <c r="F42" s="206" t="s">
        <v>174</v>
      </c>
      <c r="G42" s="207"/>
      <c r="H42" s="207"/>
      <c r="I42" s="206" t="s">
        <v>175</v>
      </c>
      <c r="J42" s="208"/>
      <c r="K42" s="208"/>
      <c r="L42" s="134" t="s">
        <v>261</v>
      </c>
      <c r="M42" s="9"/>
      <c r="R42" s="195"/>
      <c r="S42" s="129">
        <v>43</v>
      </c>
      <c r="T42" s="95"/>
      <c r="U42" s="95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95"/>
      <c r="S43" s="129">
        <v>44</v>
      </c>
      <c r="T43" s="95" t="s">
        <v>255</v>
      </c>
      <c r="U43" s="95">
        <f>COUNTIF(C21:O34,"=44")</f>
        <v>0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0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4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4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2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0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5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4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5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16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39" sqref="C39:L4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276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207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7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210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かたかなをかこう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かたかなをかこう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まのいいりょうし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むかしばなしがいっぱい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むかしばなしがいっぱい</v>
      </c>
      <c r="P4" s="87" t="str">
        <f>LOOKUP(P21,$X$2:$Y$43,$Y$2:$Y$43)</f>
        <v>現</v>
      </c>
      <c r="Q4" s="9"/>
      <c r="R4" s="195"/>
      <c r="S4" s="94">
        <v>3</v>
      </c>
      <c r="T4" s="95" t="s">
        <v>213</v>
      </c>
      <c r="U4" s="93">
        <f>COUNTIF(C21:O34,"=3")</f>
        <v>2</v>
      </c>
      <c r="V4" s="195"/>
      <c r="W4" s="9"/>
      <c r="X4" s="96" t="s">
        <v>214</v>
      </c>
      <c r="Y4" s="95" t="s">
        <v>215</v>
      </c>
      <c r="Z4" s="93">
        <f>COUNTIF(B21:P34,"=c")</f>
        <v>11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たすのかなひくのかな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まのいいりょうし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たすのかなひくのかな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０の　たしざんとひきざん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ものとひとのかず</v>
      </c>
      <c r="P5" s="101" t="str">
        <f>LOOKUP(P22,$X$2:$Y$43,$Y$2:$Y$43)</f>
        <v>現</v>
      </c>
      <c r="Q5" s="9"/>
      <c r="R5" s="195"/>
      <c r="S5" s="94">
        <v>4</v>
      </c>
      <c r="T5" s="95" t="s">
        <v>216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かたかなをみつけよう（小1）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ふえたりへったり（小1）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０の　たしざんとひきざん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算　数</v>
      </c>
      <c r="O6" s="101" t="str">
        <f>LOOKUP(O23,$S$2:$T$69,$T$2:$T$69)</f>
        <v>ものとひとのかず</v>
      </c>
      <c r="P6" s="101" t="str">
        <f>LOOKUP(P23,$X$2:$Y$43,$Y$2:$Y$43)</f>
        <v>現</v>
      </c>
      <c r="Q6" s="9"/>
      <c r="R6" s="195"/>
      <c r="S6" s="94">
        <v>5</v>
      </c>
      <c r="T6" s="95" t="s">
        <v>219</v>
      </c>
      <c r="U6" s="93">
        <f>COUNTIF(C21:O34,"=5")</f>
        <v>2</v>
      </c>
      <c r="V6" s="195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国　語</v>
      </c>
      <c r="F7" s="101" t="str">
        <f>LOOKUP(F24,$S$2:$T$69,$T$2:$T$69)</f>
        <v>かたかなをみつけよう（小1）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たしざん（小1）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たしざん（小1）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ひきざん（小1）</v>
      </c>
      <c r="P7" s="101" t="str">
        <f>LOOKUP(P24,$X$2:$Y$43,$Y$2:$Y$43)</f>
        <v>ス</v>
      </c>
      <c r="Q7" s="9"/>
      <c r="R7" s="195"/>
      <c r="S7" s="94">
        <v>6</v>
      </c>
      <c r="T7" s="95" t="s">
        <v>222</v>
      </c>
      <c r="U7" s="93">
        <f>COUNTIF(C21:O34,"=6")</f>
        <v>2</v>
      </c>
      <c r="V7" s="195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ともだちに、きいてみよう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ともだちに、きいてみよう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日づけとよう日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ずうっと、ずっと、大すきだよ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日づけとよう日</v>
      </c>
      <c r="G10" s="101" t="str">
        <f t="shared" si="5"/>
        <v>現</v>
      </c>
      <c r="H10" s="100" t="str">
        <f t="shared" si="5"/>
        <v>生活科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ずうっと、ずっと、大すきだよ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12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語彙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ひきざん（小1）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語彙</v>
      </c>
      <c r="J11" s="101" t="str">
        <f t="shared" si="6"/>
        <v>ス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232</v>
      </c>
      <c r="U11" s="88">
        <f>COUNTIF(C21:O34,"=10")</f>
        <v>2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家庭生活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学校生活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/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2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14</v>
      </c>
      <c r="V18" s="195"/>
      <c r="W18" s="9"/>
      <c r="X18" s="109">
        <v>50</v>
      </c>
      <c r="Y18" s="110" t="s">
        <v>241</v>
      </c>
      <c r="Z18" s="105">
        <f>COUNTIF(C21:P34,"=50")</f>
        <v>20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244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16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246</v>
      </c>
      <c r="U20" s="93">
        <f>COUNTIF(C21:O34,"=23")</f>
        <v>2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3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95"/>
      <c r="S21" s="94">
        <v>24</v>
      </c>
      <c r="T21" s="95" t="s">
        <v>247</v>
      </c>
      <c r="U21" s="93">
        <f>COUNTIF(C21:O34,"=24")</f>
        <v>2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214</v>
      </c>
      <c r="O22" s="117">
        <v>24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214</v>
      </c>
      <c r="F23" s="117">
        <v>27</v>
      </c>
      <c r="G23" s="119">
        <v>51</v>
      </c>
      <c r="H23" s="116" t="s">
        <v>214</v>
      </c>
      <c r="I23" s="117">
        <v>23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214</v>
      </c>
      <c r="O23" s="117">
        <v>24</v>
      </c>
      <c r="P23" s="118">
        <v>50</v>
      </c>
      <c r="Q23" s="9"/>
      <c r="R23" s="195"/>
      <c r="S23" s="88"/>
      <c r="T23" s="104" t="s">
        <v>229</v>
      </c>
      <c r="U23" s="105">
        <f>SUM(U19:U22)</f>
        <v>6</v>
      </c>
      <c r="V23" s="195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211</v>
      </c>
      <c r="F24" s="117">
        <v>10</v>
      </c>
      <c r="G24" s="119">
        <v>51</v>
      </c>
      <c r="H24" s="116" t="s">
        <v>214</v>
      </c>
      <c r="I24" s="117">
        <v>28</v>
      </c>
      <c r="J24" s="119">
        <v>51</v>
      </c>
      <c r="K24" s="116" t="s">
        <v>214</v>
      </c>
      <c r="L24" s="117">
        <v>28</v>
      </c>
      <c r="M24" s="119">
        <v>51</v>
      </c>
      <c r="N24" s="116" t="s">
        <v>214</v>
      </c>
      <c r="O24" s="117">
        <v>29</v>
      </c>
      <c r="P24" s="119">
        <v>51</v>
      </c>
      <c r="Q24" s="9"/>
      <c r="R24" s="195"/>
      <c r="S24" s="86">
        <v>27</v>
      </c>
      <c r="T24" s="91" t="s">
        <v>248</v>
      </c>
      <c r="U24" s="88">
        <f>COUNTIF(C21:O34,"=27")</f>
        <v>1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249</v>
      </c>
      <c r="U25" s="93">
        <f>COUNTIF(C21:O34,"=28")</f>
        <v>2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4</v>
      </c>
      <c r="D26" s="115">
        <v>50</v>
      </c>
      <c r="E26" s="113" t="s">
        <v>211</v>
      </c>
      <c r="F26" s="114">
        <v>4</v>
      </c>
      <c r="G26" s="115">
        <v>50</v>
      </c>
      <c r="H26" s="113" t="s">
        <v>211</v>
      </c>
      <c r="I26" s="114">
        <v>5</v>
      </c>
      <c r="J26" s="115">
        <v>50</v>
      </c>
      <c r="K26" s="113" t="s">
        <v>211</v>
      </c>
      <c r="L26" s="114">
        <v>6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250</v>
      </c>
      <c r="U26" s="93">
        <f>COUNTIF(C21:O34,"=29")</f>
        <v>2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16" t="s">
        <v>211</v>
      </c>
      <c r="F27" s="117">
        <v>5</v>
      </c>
      <c r="G27" s="118">
        <v>50</v>
      </c>
      <c r="H27" s="116" t="s">
        <v>236</v>
      </c>
      <c r="I27" s="117">
        <v>47</v>
      </c>
      <c r="J27" s="118">
        <v>50</v>
      </c>
      <c r="K27" s="116" t="s">
        <v>211</v>
      </c>
      <c r="L27" s="117">
        <v>6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57</v>
      </c>
      <c r="D28" s="119">
        <v>51</v>
      </c>
      <c r="E28" s="116" t="s">
        <v>214</v>
      </c>
      <c r="F28" s="117">
        <v>29</v>
      </c>
      <c r="G28" s="119">
        <v>51</v>
      </c>
      <c r="H28" s="116" t="s">
        <v>209</v>
      </c>
      <c r="I28" s="117">
        <v>57</v>
      </c>
      <c r="J28" s="119">
        <v>51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16" t="s">
        <v>209</v>
      </c>
      <c r="F29" s="117">
        <v>58</v>
      </c>
      <c r="G29" s="119">
        <v>51</v>
      </c>
      <c r="H29" s="116" t="s">
        <v>209</v>
      </c>
      <c r="I29" s="117">
        <v>59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5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11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/>
      <c r="U33" s="91">
        <f>COUNTIF(C21:O34,"=35")</f>
        <v>0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5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5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5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5">
        <f>COUNTIF(C21:O34,"=39")</f>
        <v>0</v>
      </c>
      <c r="V37" s="195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195"/>
      <c r="S38" s="88"/>
      <c r="T38" s="108" t="s">
        <v>256</v>
      </c>
      <c r="U38" s="105">
        <f>SUM(U33:U37)</f>
        <v>0</v>
      </c>
      <c r="V38" s="195"/>
      <c r="W38" s="9"/>
      <c r="X38" s="2"/>
    </row>
    <row r="39" spans="1:24" ht="14.25" x14ac:dyDescent="0.15">
      <c r="A39" s="201" t="s">
        <v>68</v>
      </c>
      <c r="B39" s="202"/>
      <c r="C39" s="210" t="s">
        <v>90</v>
      </c>
      <c r="D39" s="202"/>
      <c r="E39" s="202"/>
      <c r="F39" s="210" t="s">
        <v>70</v>
      </c>
      <c r="G39" s="202"/>
      <c r="H39" s="202"/>
      <c r="I39" s="210" t="s">
        <v>91</v>
      </c>
      <c r="J39" s="204"/>
      <c r="K39" s="204"/>
      <c r="L39" s="133" t="s">
        <v>257</v>
      </c>
      <c r="M39" s="9"/>
      <c r="R39" s="194" t="s">
        <v>258</v>
      </c>
      <c r="S39" s="128">
        <v>40</v>
      </c>
      <c r="T39" s="91"/>
      <c r="U39" s="91">
        <f>COUNTIF(C21:O34,"=40")</f>
        <v>0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177</v>
      </c>
      <c r="D40" s="207"/>
      <c r="E40" s="207"/>
      <c r="F40" s="206" t="s">
        <v>178</v>
      </c>
      <c r="G40" s="207"/>
      <c r="H40" s="207"/>
      <c r="I40" s="206" t="s">
        <v>132</v>
      </c>
      <c r="J40" s="208"/>
      <c r="K40" s="208"/>
      <c r="L40" s="134" t="s">
        <v>277</v>
      </c>
      <c r="M40" s="9"/>
      <c r="R40" s="195"/>
      <c r="S40" s="129">
        <v>41</v>
      </c>
      <c r="T40" s="95"/>
      <c r="U40" s="95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179</v>
      </c>
      <c r="D41" s="207"/>
      <c r="E41" s="207"/>
      <c r="F41" s="206" t="s">
        <v>180</v>
      </c>
      <c r="G41" s="207"/>
      <c r="H41" s="207"/>
      <c r="I41" s="206" t="s">
        <v>136</v>
      </c>
      <c r="J41" s="208"/>
      <c r="K41" s="208"/>
      <c r="L41" s="134" t="s">
        <v>278</v>
      </c>
      <c r="M41" s="9"/>
      <c r="R41" s="195"/>
      <c r="S41" s="129">
        <v>42</v>
      </c>
      <c r="T41" s="95"/>
      <c r="U41" s="95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181</v>
      </c>
      <c r="D42" s="207"/>
      <c r="E42" s="207"/>
      <c r="F42" s="206" t="s">
        <v>179</v>
      </c>
      <c r="G42" s="207"/>
      <c r="H42" s="207"/>
      <c r="I42" s="206" t="s">
        <v>162</v>
      </c>
      <c r="J42" s="208"/>
      <c r="K42" s="208"/>
      <c r="L42" s="134" t="s">
        <v>279</v>
      </c>
      <c r="M42" s="9"/>
      <c r="R42" s="195"/>
      <c r="S42" s="129">
        <v>43</v>
      </c>
      <c r="T42" s="95"/>
      <c r="U42" s="95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95"/>
      <c r="S43" s="129">
        <v>44</v>
      </c>
      <c r="T43" s="95" t="s">
        <v>255</v>
      </c>
      <c r="U43" s="95">
        <f>COUNTIF(C21:O34,"=44")</f>
        <v>0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0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4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4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3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1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1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7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topLeftCell="A4" colorId="22" workbookViewId="0">
      <selection activeCell="C39" sqref="C39:L40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280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207</v>
      </c>
      <c r="U2" s="88">
        <f>COUNTIF(C21:O34,"=1")</f>
        <v>2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210</v>
      </c>
      <c r="U3" s="93">
        <f>COUNTIF(C21:O34,"=2")</f>
        <v>2</v>
      </c>
      <c r="V3" s="19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かたかなをかこう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まのいいりょうし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まのいいりょうし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ともだちに、きいてみよう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ともだちに、きいてみよう</v>
      </c>
      <c r="P4" s="87" t="str">
        <f>LOOKUP(P21,$X$2:$Y$43,$Y$2:$Y$43)</f>
        <v>現</v>
      </c>
      <c r="Q4" s="9"/>
      <c r="R4" s="195"/>
      <c r="S4" s="94">
        <v>3</v>
      </c>
      <c r="T4" s="95" t="s">
        <v>213</v>
      </c>
      <c r="U4" s="93">
        <f>COUNTIF(C21:O34,"=3")</f>
        <v>1</v>
      </c>
      <c r="V4" s="195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かたかなをかこう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たすのかなひくのかな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むかしばなしがいっぱい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０の　たしざんとひきざん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日づけとよう日</v>
      </c>
      <c r="P5" s="101" t="str">
        <f>LOOKUP(P22,$X$2:$Y$43,$Y$2:$Y$43)</f>
        <v>現</v>
      </c>
      <c r="Q5" s="9"/>
      <c r="R5" s="195"/>
      <c r="S5" s="94">
        <v>4</v>
      </c>
      <c r="T5" s="95" t="s">
        <v>216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たすのかなひくのかな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０の　たしざんとひきざん</v>
      </c>
      <c r="J6" s="101" t="str">
        <f t="shared" si="2"/>
        <v>現</v>
      </c>
      <c r="K6" s="100" t="str">
        <f t="shared" si="2"/>
        <v>生活科</v>
      </c>
      <c r="L6" s="101" t="str">
        <f>LOOKUP(L23,$S$2:$T$69,$T$2:$T$69)</f>
        <v>学習用具・教科用語</v>
      </c>
      <c r="M6" s="101" t="str">
        <f t="shared" si="3"/>
        <v>現</v>
      </c>
      <c r="N6" s="100" t="str">
        <f t="shared" si="3"/>
        <v>算　数</v>
      </c>
      <c r="O6" s="101" t="str">
        <f>LOOKUP(O23,$S$2:$T$69,$T$2:$T$69)</f>
        <v>ものとひとのかず</v>
      </c>
      <c r="P6" s="101" t="str">
        <f>LOOKUP(P23,$X$2:$Y$43,$Y$2:$Y$43)</f>
        <v>現</v>
      </c>
      <c r="Q6" s="9"/>
      <c r="R6" s="195"/>
      <c r="S6" s="94">
        <v>5</v>
      </c>
      <c r="T6" s="95" t="s">
        <v>219</v>
      </c>
      <c r="U6" s="93">
        <f>COUNTIF(C21:O34,"=5")</f>
        <v>2</v>
      </c>
      <c r="V6" s="195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ふえたりへったり（小1）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日本の文化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ひきざん（小1）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日本語能力試験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95"/>
      <c r="S7" s="94">
        <v>6</v>
      </c>
      <c r="T7" s="95" t="s">
        <v>222</v>
      </c>
      <c r="U7" s="93">
        <f>COUNTIF(C21:O34,"=6")</f>
        <v>2</v>
      </c>
      <c r="V7" s="195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日づけとよう日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ずうっと、ずっと、大すきだよ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ずうっと、ずっと、大すきだよ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232</v>
      </c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語彙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/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0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11</v>
      </c>
      <c r="V18" s="195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244</v>
      </c>
      <c r="U19" s="88">
        <f>COUNTIF(C21:O34,"=22")</f>
        <v>2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 t="s">
        <v>246</v>
      </c>
      <c r="U20" s="93">
        <f>COUNTIF(C21:O34,"=23")</f>
        <v>2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2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4</v>
      </c>
      <c r="M21" s="115">
        <v>50</v>
      </c>
      <c r="N21" s="113" t="s">
        <v>211</v>
      </c>
      <c r="O21" s="114">
        <v>4</v>
      </c>
      <c r="P21" s="115">
        <v>50</v>
      </c>
      <c r="Q21" s="9"/>
      <c r="R21" s="195"/>
      <c r="S21" s="94">
        <v>24</v>
      </c>
      <c r="T21" s="95" t="s">
        <v>247</v>
      </c>
      <c r="U21" s="93">
        <f>COUNTIF(C21:O34,"=24")</f>
        <v>1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211</v>
      </c>
      <c r="I22" s="117">
        <v>3</v>
      </c>
      <c r="J22" s="118">
        <v>50</v>
      </c>
      <c r="K22" s="116" t="s">
        <v>214</v>
      </c>
      <c r="L22" s="117">
        <v>23</v>
      </c>
      <c r="M22" s="118">
        <v>50</v>
      </c>
      <c r="N22" s="116" t="s">
        <v>211</v>
      </c>
      <c r="O22" s="117">
        <v>5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214</v>
      </c>
      <c r="I23" s="117">
        <v>23</v>
      </c>
      <c r="J23" s="118">
        <v>50</v>
      </c>
      <c r="K23" s="116" t="s">
        <v>236</v>
      </c>
      <c r="L23" s="117">
        <v>47</v>
      </c>
      <c r="M23" s="118">
        <v>50</v>
      </c>
      <c r="N23" s="116" t="s">
        <v>214</v>
      </c>
      <c r="O23" s="117">
        <v>24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53</v>
      </c>
      <c r="G24" s="119">
        <v>51</v>
      </c>
      <c r="H24" s="116" t="s">
        <v>214</v>
      </c>
      <c r="I24" s="117">
        <v>29</v>
      </c>
      <c r="J24" s="119">
        <v>51</v>
      </c>
      <c r="K24" s="116" t="s">
        <v>209</v>
      </c>
      <c r="L24" s="117">
        <v>55</v>
      </c>
      <c r="M24" s="119">
        <v>51</v>
      </c>
      <c r="N24" s="116" t="s">
        <v>234</v>
      </c>
      <c r="O24" s="117">
        <v>47</v>
      </c>
      <c r="P24" s="119">
        <v>51</v>
      </c>
      <c r="Q24" s="9"/>
      <c r="R24" s="195"/>
      <c r="S24" s="86">
        <v>27</v>
      </c>
      <c r="T24" s="91" t="s">
        <v>248</v>
      </c>
      <c r="U24" s="88">
        <f>COUNTIF(C21:O34,"=27")</f>
        <v>1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 t="s">
        <v>249</v>
      </c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5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 t="s">
        <v>250</v>
      </c>
      <c r="U26" s="93">
        <f>COUNTIF(C21:O34,"=29")</f>
        <v>1</v>
      </c>
      <c r="V26" s="195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6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6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2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7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/>
      <c r="U33" s="91">
        <f>COUNTIF(C21:O34,"=35")</f>
        <v>0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5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5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5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5">
        <f>COUNTIF(C21:O34,"=39")</f>
        <v>0</v>
      </c>
      <c r="V37" s="195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195"/>
      <c r="S38" s="88"/>
      <c r="T38" s="108" t="s">
        <v>256</v>
      </c>
      <c r="U38" s="105">
        <f>SUM(U33:U37)</f>
        <v>0</v>
      </c>
      <c r="V38" s="195"/>
      <c r="W38" s="9"/>
      <c r="X38" s="2"/>
    </row>
    <row r="39" spans="1:24" ht="14.25" x14ac:dyDescent="0.15">
      <c r="A39" s="201" t="s">
        <v>68</v>
      </c>
      <c r="B39" s="202"/>
      <c r="C39" s="211" t="s">
        <v>90</v>
      </c>
      <c r="D39" s="202"/>
      <c r="E39" s="202"/>
      <c r="F39" s="211" t="s">
        <v>70</v>
      </c>
      <c r="G39" s="202"/>
      <c r="H39" s="202"/>
      <c r="I39" s="211" t="s">
        <v>91</v>
      </c>
      <c r="J39" s="204"/>
      <c r="K39" s="204"/>
      <c r="L39" s="133" t="s">
        <v>257</v>
      </c>
      <c r="M39" s="9"/>
      <c r="R39" s="194" t="s">
        <v>258</v>
      </c>
      <c r="S39" s="128">
        <v>40</v>
      </c>
      <c r="T39" s="91"/>
      <c r="U39" s="91">
        <f>COUNTIF(C21:O34,"=40")</f>
        <v>0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183</v>
      </c>
      <c r="D40" s="207"/>
      <c r="E40" s="207"/>
      <c r="F40" s="206" t="s">
        <v>184</v>
      </c>
      <c r="G40" s="207"/>
      <c r="H40" s="207"/>
      <c r="I40" s="206" t="s">
        <v>136</v>
      </c>
      <c r="J40" s="208"/>
      <c r="K40" s="208"/>
      <c r="L40" s="134" t="s">
        <v>281</v>
      </c>
      <c r="M40" s="9"/>
      <c r="R40" s="195"/>
      <c r="S40" s="129">
        <v>41</v>
      </c>
      <c r="T40" s="95"/>
      <c r="U40" s="95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140</v>
      </c>
      <c r="D41" s="207"/>
      <c r="E41" s="207"/>
      <c r="F41" s="206" t="s">
        <v>185</v>
      </c>
      <c r="G41" s="207"/>
      <c r="H41" s="207"/>
      <c r="I41" s="206" t="s">
        <v>130</v>
      </c>
      <c r="J41" s="208"/>
      <c r="K41" s="208"/>
      <c r="L41" s="134" t="s">
        <v>282</v>
      </c>
      <c r="M41" s="9"/>
      <c r="R41" s="195"/>
      <c r="S41" s="129">
        <v>42</v>
      </c>
      <c r="T41" s="95"/>
      <c r="U41" s="95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186</v>
      </c>
      <c r="D42" s="207"/>
      <c r="E42" s="207"/>
      <c r="F42" s="206" t="s">
        <v>140</v>
      </c>
      <c r="G42" s="207"/>
      <c r="H42" s="207"/>
      <c r="I42" s="206" t="s">
        <v>116</v>
      </c>
      <c r="J42" s="208"/>
      <c r="K42" s="208"/>
      <c r="L42" s="134" t="s">
        <v>283</v>
      </c>
      <c r="M42" s="9"/>
      <c r="R42" s="195"/>
      <c r="S42" s="129">
        <v>43</v>
      </c>
      <c r="T42" s="95"/>
      <c r="U42" s="95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95"/>
      <c r="S43" s="129">
        <v>44</v>
      </c>
      <c r="T43" s="95" t="s">
        <v>255</v>
      </c>
      <c r="U43" s="95">
        <f>COUNTIF(C21:O34,"=44")</f>
        <v>0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0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1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3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N36" sqref="N36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284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285</v>
      </c>
      <c r="U2" s="88">
        <f>COUNTIF(C21:O34,"=1")</f>
        <v>3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14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286</v>
      </c>
      <c r="U3" s="93">
        <f>COUNTIF(C21:O34,"=2")</f>
        <v>3</v>
      </c>
      <c r="V3" s="195"/>
      <c r="W3" s="9"/>
      <c r="X3" s="96" t="s">
        <v>211</v>
      </c>
      <c r="Y3" s="95" t="s">
        <v>212</v>
      </c>
      <c r="Z3" s="93">
        <f>COUNTIF(B21:P34,"=b")</f>
        <v>16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にたいみ、はんたいのいみのことば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にたいみ、はんたいのいみのことば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にたいみ、はんたいのいみのことば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わたしはおねえさん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わたしはおねえさん</v>
      </c>
      <c r="P4" s="87" t="str">
        <f>LOOKUP(P21,$X$2:$Y$43,$Y$2:$Y$43)</f>
        <v>現</v>
      </c>
      <c r="Q4" s="9"/>
      <c r="R4" s="195"/>
      <c r="S4" s="94">
        <v>3</v>
      </c>
      <c r="T4" s="95" t="s">
        <v>287</v>
      </c>
      <c r="U4" s="93">
        <f>COUNTIF(C21:O34,"=3")</f>
        <v>3</v>
      </c>
      <c r="V4" s="195"/>
      <c r="W4" s="9"/>
      <c r="X4" s="96" t="s">
        <v>214</v>
      </c>
      <c r="Y4" s="95" t="s">
        <v>215</v>
      </c>
      <c r="Z4" s="93">
        <f>COUNTIF(B21:P34,"=c")</f>
        <v>14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三角形と四角形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三角形と四角形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三角形と四角形</v>
      </c>
      <c r="J5" s="101" t="str">
        <f t="shared" si="2"/>
        <v>現</v>
      </c>
      <c r="K5" s="100" t="str">
        <f t="shared" si="2"/>
        <v>日本語</v>
      </c>
      <c r="L5" s="101" t="str">
        <f>LOOKUP(L22,$S$2:$T$69,$T$2:$T$69)</f>
        <v>日本の文化</v>
      </c>
      <c r="M5" s="101" t="str">
        <f t="shared" si="3"/>
        <v>ス</v>
      </c>
      <c r="N5" s="100" t="str">
        <f t="shared" si="3"/>
        <v>日本語</v>
      </c>
      <c r="O5" s="101" t="str">
        <f>LOOKUP(O22,$S$2:$T$69,$T$2:$T$69)</f>
        <v>語彙</v>
      </c>
      <c r="P5" s="101" t="str">
        <f>LOOKUP(P22,$X$2:$Y$43,$Y$2:$Y$43)</f>
        <v>ス</v>
      </c>
      <c r="Q5" s="9"/>
      <c r="R5" s="195"/>
      <c r="S5" s="94">
        <v>4</v>
      </c>
      <c r="T5" s="95" t="s">
        <v>288</v>
      </c>
      <c r="U5" s="93">
        <f>COUNTIF(C21:O34,"=4")</f>
        <v>3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にている漢字（小1）</v>
      </c>
      <c r="D6" s="101" t="str">
        <f t="shared" si="0"/>
        <v>ス</v>
      </c>
      <c r="E6" s="100" t="str">
        <f t="shared" si="0"/>
        <v>日本語</v>
      </c>
      <c r="F6" s="101" t="str">
        <f>LOOKUP(F23,$S$2:$T$69,$T$2:$T$69)</f>
        <v>学校生活</v>
      </c>
      <c r="G6" s="101" t="str">
        <f t="shared" si="1"/>
        <v>ス</v>
      </c>
      <c r="H6" s="100" t="str">
        <f t="shared" si="1"/>
        <v>国　語</v>
      </c>
      <c r="I6" s="101" t="str">
        <f>LOOKUP(I23,$S$2:$T$69,$T$2:$T$69)</f>
        <v>にている漢字（小1）</v>
      </c>
      <c r="J6" s="101" t="str">
        <f t="shared" si="2"/>
        <v>ス</v>
      </c>
      <c r="K6" s="100" t="str">
        <f t="shared" si="2"/>
        <v>日本語</v>
      </c>
      <c r="L6" s="101" t="str">
        <f>LOOKUP(L23,$S$2:$T$69,$T$2:$T$69)</f>
        <v>語彙</v>
      </c>
      <c r="M6" s="101" t="str">
        <f t="shared" si="3"/>
        <v>ス</v>
      </c>
      <c r="N6" s="100" t="str">
        <f t="shared" si="3"/>
        <v>国　語</v>
      </c>
      <c r="O6" s="101" t="str">
        <f>LOOKUP(O23,$S$2:$T$69,$T$2:$T$69)</f>
        <v>かずとかんじ（小1）</v>
      </c>
      <c r="P6" s="101" t="str">
        <f>LOOKUP(P23,$X$2:$Y$43,$Y$2:$Y$43)</f>
        <v>ス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いろいろなかたち（小1）</v>
      </c>
      <c r="D7" s="101" t="str">
        <f t="shared" si="0"/>
        <v>ス</v>
      </c>
      <c r="E7" s="100" t="str">
        <f t="shared" si="0"/>
        <v>算　数</v>
      </c>
      <c r="F7" s="101" t="str">
        <f>LOOKUP(F24,$S$2:$T$69,$T$2:$T$69)</f>
        <v>いろいろなかたち（小1）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いろいろなかたち（小1）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いろいろなかたち（小1）</v>
      </c>
      <c r="M7" s="101" t="str">
        <f t="shared" si="3"/>
        <v>ス</v>
      </c>
      <c r="N7" s="100" t="str">
        <f t="shared" si="3"/>
        <v>日本語</v>
      </c>
      <c r="O7" s="101" t="str">
        <f>LOOKUP(O24,$S$2:$T$69,$T$2:$T$69)</f>
        <v>家庭生活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わたしはおねえさん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かん字の広場④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かん字の広場④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かん字の広場④</v>
      </c>
      <c r="M9" s="87" t="str">
        <f t="shared" ref="M9:N12" si="7">LOOKUP(M26,$X$2:$Y$43,$Y$2:$Y$43)</f>
        <v>現</v>
      </c>
      <c r="N9" s="98" t="str">
        <f t="shared" si="7"/>
        <v>国　語</v>
      </c>
      <c r="O9" s="87" t="str">
        <f>LOOKUP(O26,$S$2:$T$69,$T$2:$T$69)</f>
        <v>冬がいっぱい</v>
      </c>
      <c r="P9" s="87" t="str">
        <f>LOOKUP(P26,$X$2:$Y$43,$Y$2:$Y$43)</f>
        <v>現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日本語</v>
      </c>
      <c r="C10" s="101" t="str">
        <f>LOOKUP(C27,$S$2:$T$69,$T$2:$T$69)</f>
        <v>家庭生活</v>
      </c>
      <c r="D10" s="101" t="str">
        <f t="shared" si="4"/>
        <v>ス</v>
      </c>
      <c r="E10" s="100" t="str">
        <f t="shared" si="4"/>
        <v>音　楽</v>
      </c>
      <c r="F10" s="101" t="str">
        <f>LOOKUP(F27,$S$2:$T$69,$T$2:$T$69)</f>
        <v>学習用具・教科用語</v>
      </c>
      <c r="G10" s="101" t="str">
        <f t="shared" si="5"/>
        <v>現</v>
      </c>
      <c r="H10" s="100" t="str">
        <f t="shared" si="5"/>
        <v>算　数</v>
      </c>
      <c r="I10" s="101" t="str">
        <f>LOOKUP(I27,$S$2:$T$69,$T$2:$T$69)</f>
        <v>三角形と四角形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冬がいっぱい</v>
      </c>
      <c r="M10" s="101" t="str">
        <f t="shared" si="7"/>
        <v>現</v>
      </c>
      <c r="N10" s="100" t="str">
        <f t="shared" si="7"/>
        <v>算　数</v>
      </c>
      <c r="O10" s="101" t="str">
        <f>LOOKUP(O27,$S$2:$T$69,$T$2:$T$69)</f>
        <v>三角形と四角形</v>
      </c>
      <c r="P10" s="101" t="str">
        <f>LOOKUP(P27,$X$2:$Y$43,$Y$2:$Y$43)</f>
        <v>現</v>
      </c>
      <c r="Q10" s="9"/>
      <c r="R10" s="195"/>
      <c r="S10" s="88"/>
      <c r="T10" s="104" t="s">
        <v>229</v>
      </c>
      <c r="U10" s="105">
        <f>SUM(U2:U9)</f>
        <v>12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図　工</v>
      </c>
      <c r="C11" s="101" t="str">
        <f>LOOKUP(C28,$S$2:$T$69,$T$2:$T$69)</f>
        <v>学習用具・教科用語</v>
      </c>
      <c r="D11" s="101" t="str">
        <f t="shared" si="4"/>
        <v>ス</v>
      </c>
      <c r="E11" s="100" t="str">
        <f t="shared" si="4"/>
        <v>国　語</v>
      </c>
      <c r="F11" s="101" t="str">
        <f>LOOKUP(F28,$S$2:$T$69,$T$2:$T$69)</f>
        <v>かずとかんじ（小1）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家庭生活</v>
      </c>
      <c r="J11" s="101" t="str">
        <f t="shared" si="6"/>
        <v>ス</v>
      </c>
      <c r="K11" s="100" t="str">
        <f t="shared" si="6"/>
        <v>日本語</v>
      </c>
      <c r="L11" s="101" t="str">
        <f>LOOKUP(L28,$S$2:$T$69,$T$2:$T$69)</f>
        <v>語彙</v>
      </c>
      <c r="M11" s="101" t="str">
        <f t="shared" si="7"/>
        <v>ス</v>
      </c>
      <c r="N11" s="100" t="str">
        <f t="shared" si="7"/>
        <v>日本語</v>
      </c>
      <c r="O11" s="101" t="str">
        <f>LOOKUP(O28,$S$2:$T$69,$T$2:$T$69)</f>
        <v>学校生活</v>
      </c>
      <c r="P11" s="101" t="str">
        <f>LOOKUP(P28,$X$2:$Y$43,$Y$2:$Y$43)</f>
        <v>ス</v>
      </c>
      <c r="Q11" s="9"/>
      <c r="R11" s="195"/>
      <c r="S11" s="86">
        <v>10</v>
      </c>
      <c r="T11" s="91" t="s">
        <v>289</v>
      </c>
      <c r="U11" s="88">
        <f>COUNTIF(C21:O34,"=10")</f>
        <v>2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学校生活</v>
      </c>
      <c r="D12" s="101" t="str">
        <f t="shared" si="4"/>
        <v>ス</v>
      </c>
      <c r="E12" s="100" t="str">
        <f t="shared" si="4"/>
        <v>算　数</v>
      </c>
      <c r="F12" s="101" t="str">
        <f>LOOKUP(F29,$S$2:$T$69,$T$2:$T$69)</f>
        <v>学習用具・教科用語</v>
      </c>
      <c r="G12" s="101" t="str">
        <f t="shared" si="5"/>
        <v>ス</v>
      </c>
      <c r="H12" s="100" t="str">
        <f t="shared" si="5"/>
        <v>算　数</v>
      </c>
      <c r="I12" s="101" t="str">
        <f>LOOKUP(I29,$S$2:$T$69,$T$2:$T$69)</f>
        <v>学習用具・教科用語</v>
      </c>
      <c r="J12" s="101" t="str">
        <f t="shared" si="6"/>
        <v>ス</v>
      </c>
      <c r="K12" s="100" t="str">
        <f t="shared" si="6"/>
        <v>算　数</v>
      </c>
      <c r="L12" s="101" t="str">
        <f>LOOKUP(L29,$S$2:$T$69,$T$2:$T$69)</f>
        <v>学習用具・教科用語</v>
      </c>
      <c r="M12" s="101" t="str">
        <f t="shared" si="7"/>
        <v>ス</v>
      </c>
      <c r="N12" s="100" t="str">
        <f t="shared" si="7"/>
        <v>体　育</v>
      </c>
      <c r="O12" s="101" t="str">
        <f>LOOKUP(O29,$S$2:$T$69,$T$2:$T$69)</f>
        <v>学習用具・教科用語</v>
      </c>
      <c r="P12" s="101" t="str">
        <f>LOOKUP(P29,$X$2:$Y$43,$Y$2:$Y$43)</f>
        <v>ス</v>
      </c>
      <c r="Q12" s="9"/>
      <c r="R12" s="195"/>
      <c r="S12" s="94">
        <v>11</v>
      </c>
      <c r="T12" s="95" t="s">
        <v>290</v>
      </c>
      <c r="U12" s="93">
        <f>COUNTIF(C21:O34,"=11")</f>
        <v>2</v>
      </c>
      <c r="V12" s="195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国　語</v>
      </c>
      <c r="C14" s="87" t="str">
        <f>LOOKUP(C31,$S$2:$T$69,$T$2:$T$69)</f>
        <v>冬がいっぱい</v>
      </c>
      <c r="D14" s="87" t="str">
        <f t="shared" ref="D14:E17" si="8">LOOKUP(D31,$X$2:$Y$43,$Y$2:$Y$43)</f>
        <v>現</v>
      </c>
      <c r="E14" s="98" t="str">
        <f t="shared" si="8"/>
        <v>算　数</v>
      </c>
      <c r="F14" s="87" t="str">
        <f>LOOKUP(F31,$S$2:$T$69,$T$2:$T$69)</f>
        <v>三角形と四角形</v>
      </c>
      <c r="G14" s="87" t="str">
        <f t="shared" ref="G14:H17" si="9">LOOKUP(G31,$X$2:$Y$43,$Y$2:$Y$43)</f>
        <v>現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48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日本語</v>
      </c>
      <c r="C15" s="101" t="str">
        <f>LOOKUP(C32,$S$2:$T$69,$T$2:$T$69)</f>
        <v>日本語能力試験</v>
      </c>
      <c r="D15" s="101" t="str">
        <f t="shared" si="8"/>
        <v>ス</v>
      </c>
      <c r="E15" s="100" t="str">
        <f t="shared" si="8"/>
        <v>算　数</v>
      </c>
      <c r="F15" s="101" t="str">
        <f>LOOKUP(F32,$S$2:$T$69,$T$2:$T$69)</f>
        <v>学習用具・教科用語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日本語</v>
      </c>
      <c r="C16" s="101" t="str">
        <f>LOOKUP(C33,$S$2:$T$69,$T$2:$T$69)</f>
        <v>語彙</v>
      </c>
      <c r="D16" s="101" t="str">
        <f t="shared" si="8"/>
        <v>ス</v>
      </c>
      <c r="E16" s="100" t="str">
        <f t="shared" si="8"/>
        <v>日本語</v>
      </c>
      <c r="F16" s="101" t="str">
        <f>LOOKUP(F33,$S$2:$T$69,$T$2:$T$69)</f>
        <v>日本の文化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生活科</v>
      </c>
      <c r="C17" s="101" t="str">
        <f>LOOKUP(C34,$S$2:$T$69,$T$2:$T$69)</f>
        <v>学習用具・教科用語</v>
      </c>
      <c r="D17" s="101" t="str">
        <f t="shared" si="8"/>
        <v>ス</v>
      </c>
      <c r="E17" s="100" t="str">
        <f t="shared" si="8"/>
        <v>日本語</v>
      </c>
      <c r="F17" s="101" t="str">
        <f>LOOKUP(F34,$S$2:$T$69,$T$2:$T$69)</f>
        <v>日本語能力試験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4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16</v>
      </c>
      <c r="V18" s="195"/>
      <c r="W18" s="9"/>
      <c r="X18" s="109">
        <v>50</v>
      </c>
      <c r="Y18" s="110" t="s">
        <v>241</v>
      </c>
      <c r="Z18" s="105">
        <f>COUNTIF(C21:P34,"=50")</f>
        <v>19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291</v>
      </c>
      <c r="U19" s="88">
        <f>COUNTIF(C21:O34,"=22")</f>
        <v>6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29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/>
      <c r="U20" s="93">
        <f>COUNTIF(C21:O34,"=23")</f>
        <v>0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1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209</v>
      </c>
      <c r="L22" s="117">
        <v>53</v>
      </c>
      <c r="M22" s="119">
        <v>51</v>
      </c>
      <c r="N22" s="116" t="s">
        <v>209</v>
      </c>
      <c r="O22" s="117">
        <v>57</v>
      </c>
      <c r="P22" s="119">
        <v>51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209</v>
      </c>
      <c r="F23" s="117">
        <v>59</v>
      </c>
      <c r="G23" s="119">
        <v>51</v>
      </c>
      <c r="H23" s="116" t="s">
        <v>211</v>
      </c>
      <c r="I23" s="117">
        <v>10</v>
      </c>
      <c r="J23" s="119">
        <v>51</v>
      </c>
      <c r="K23" s="116" t="s">
        <v>209</v>
      </c>
      <c r="L23" s="117">
        <v>57</v>
      </c>
      <c r="M23" s="119">
        <v>51</v>
      </c>
      <c r="N23" s="116" t="s">
        <v>211</v>
      </c>
      <c r="O23" s="117">
        <v>11</v>
      </c>
      <c r="P23" s="119">
        <v>51</v>
      </c>
      <c r="Q23" s="9"/>
      <c r="R23" s="195"/>
      <c r="S23" s="88"/>
      <c r="T23" s="104" t="s">
        <v>229</v>
      </c>
      <c r="U23" s="105">
        <f>SUM(U19:U22)</f>
        <v>6</v>
      </c>
      <c r="V23" s="19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214</v>
      </c>
      <c r="F24" s="117">
        <v>27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209</v>
      </c>
      <c r="O24" s="117">
        <v>58</v>
      </c>
      <c r="P24" s="119">
        <v>51</v>
      </c>
      <c r="Q24" s="9"/>
      <c r="R24" s="195"/>
      <c r="S24" s="86">
        <v>27</v>
      </c>
      <c r="T24" s="91" t="s">
        <v>292</v>
      </c>
      <c r="U24" s="88">
        <f>COUNTIF(C21:O34,"=27")</f>
        <v>4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/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2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3</v>
      </c>
      <c r="J26" s="115">
        <v>50</v>
      </c>
      <c r="K26" s="113" t="s">
        <v>211</v>
      </c>
      <c r="L26" s="114">
        <v>3</v>
      </c>
      <c r="M26" s="115">
        <v>50</v>
      </c>
      <c r="N26" s="113" t="s">
        <v>211</v>
      </c>
      <c r="O26" s="114">
        <v>4</v>
      </c>
      <c r="P26" s="115">
        <v>50</v>
      </c>
      <c r="Q26" s="9"/>
      <c r="R26" s="195"/>
      <c r="S26" s="94">
        <v>29</v>
      </c>
      <c r="T26" s="95"/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209</v>
      </c>
      <c r="C27" s="117">
        <v>58</v>
      </c>
      <c r="D27" s="119">
        <v>51</v>
      </c>
      <c r="E27" s="116" t="s">
        <v>227</v>
      </c>
      <c r="F27" s="117">
        <v>47</v>
      </c>
      <c r="G27" s="118">
        <v>50</v>
      </c>
      <c r="H27" s="116" t="s">
        <v>214</v>
      </c>
      <c r="I27" s="117">
        <v>22</v>
      </c>
      <c r="J27" s="118">
        <v>50</v>
      </c>
      <c r="K27" s="116" t="s">
        <v>211</v>
      </c>
      <c r="L27" s="117">
        <v>4</v>
      </c>
      <c r="M27" s="118">
        <v>50</v>
      </c>
      <c r="N27" s="116" t="s">
        <v>214</v>
      </c>
      <c r="O27" s="117">
        <v>22</v>
      </c>
      <c r="P27" s="118">
        <v>50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225</v>
      </c>
      <c r="C28" s="117">
        <v>47</v>
      </c>
      <c r="D28" s="119">
        <v>51</v>
      </c>
      <c r="E28" s="116" t="s">
        <v>211</v>
      </c>
      <c r="F28" s="117">
        <v>11</v>
      </c>
      <c r="G28" s="119">
        <v>51</v>
      </c>
      <c r="H28" s="116" t="s">
        <v>209</v>
      </c>
      <c r="I28" s="117">
        <v>58</v>
      </c>
      <c r="J28" s="119">
        <v>51</v>
      </c>
      <c r="K28" s="116" t="s">
        <v>209</v>
      </c>
      <c r="L28" s="117">
        <v>57</v>
      </c>
      <c r="M28" s="119">
        <v>51</v>
      </c>
      <c r="N28" s="116" t="s">
        <v>209</v>
      </c>
      <c r="O28" s="117">
        <v>59</v>
      </c>
      <c r="P28" s="119">
        <v>51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59</v>
      </c>
      <c r="D29" s="119">
        <v>51</v>
      </c>
      <c r="E29" s="116" t="s">
        <v>214</v>
      </c>
      <c r="F29" s="117">
        <v>47</v>
      </c>
      <c r="G29" s="119">
        <v>51</v>
      </c>
      <c r="H29" s="116" t="s">
        <v>214</v>
      </c>
      <c r="I29" s="117">
        <v>47</v>
      </c>
      <c r="J29" s="119">
        <v>51</v>
      </c>
      <c r="K29" s="116" t="s">
        <v>214</v>
      </c>
      <c r="L29" s="117">
        <v>47</v>
      </c>
      <c r="M29" s="119">
        <v>51</v>
      </c>
      <c r="N29" s="116" t="s">
        <v>234</v>
      </c>
      <c r="O29" s="117">
        <v>47</v>
      </c>
      <c r="P29" s="119">
        <v>51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13" t="s">
        <v>211</v>
      </c>
      <c r="C31" s="114">
        <v>4</v>
      </c>
      <c r="D31" s="115">
        <v>50</v>
      </c>
      <c r="E31" s="113" t="s">
        <v>214</v>
      </c>
      <c r="F31" s="114">
        <v>22</v>
      </c>
      <c r="G31" s="115">
        <v>50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4</v>
      </c>
      <c r="V31" s="195"/>
      <c r="W31" s="9"/>
      <c r="X31" s="2"/>
    </row>
    <row r="32" spans="1:27" ht="14.25" x14ac:dyDescent="0.15">
      <c r="A32" s="99">
        <v>10</v>
      </c>
      <c r="B32" s="116" t="s">
        <v>209</v>
      </c>
      <c r="C32" s="117">
        <v>55</v>
      </c>
      <c r="D32" s="119">
        <v>51</v>
      </c>
      <c r="E32" s="116" t="s">
        <v>214</v>
      </c>
      <c r="F32" s="117">
        <v>47</v>
      </c>
      <c r="G32" s="119">
        <v>51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10</v>
      </c>
      <c r="V32" s="195"/>
      <c r="W32" s="9"/>
      <c r="X32" s="2"/>
    </row>
    <row r="33" spans="1:24" ht="15" customHeight="1" x14ac:dyDescent="0.15">
      <c r="A33" s="99">
        <v>11</v>
      </c>
      <c r="B33" s="116" t="s">
        <v>209</v>
      </c>
      <c r="C33" s="117">
        <v>57</v>
      </c>
      <c r="D33" s="119">
        <v>51</v>
      </c>
      <c r="E33" s="116" t="s">
        <v>209</v>
      </c>
      <c r="F33" s="117">
        <v>53</v>
      </c>
      <c r="G33" s="119">
        <v>51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/>
      <c r="U33" s="91">
        <f>COUNTIF(C21:O34,"=35")</f>
        <v>0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16" t="s">
        <v>236</v>
      </c>
      <c r="C34" s="117">
        <v>47</v>
      </c>
      <c r="D34" s="119">
        <v>51</v>
      </c>
      <c r="E34" s="116" t="s">
        <v>209</v>
      </c>
      <c r="F34" s="117">
        <v>55</v>
      </c>
      <c r="G34" s="119">
        <v>51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5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5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5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5">
        <f>COUNTIF(C21:O34,"=39")</f>
        <v>0</v>
      </c>
      <c r="V37" s="195"/>
      <c r="W37" s="9"/>
      <c r="X37" s="2"/>
    </row>
    <row r="38" spans="1:24" ht="15.6" customHeight="1" x14ac:dyDescent="0.2">
      <c r="B38" s="80" t="s">
        <v>168</v>
      </c>
      <c r="I38" s="25"/>
      <c r="J38" s="25"/>
      <c r="K38" s="25"/>
      <c r="R38" s="195"/>
      <c r="S38" s="88"/>
      <c r="T38" s="108" t="s">
        <v>256</v>
      </c>
      <c r="U38" s="105">
        <f>SUM(U33:U37)</f>
        <v>0</v>
      </c>
      <c r="V38" s="195"/>
      <c r="W38" s="9"/>
      <c r="X38" s="2"/>
    </row>
    <row r="39" spans="1:24" ht="14.25" x14ac:dyDescent="0.15">
      <c r="A39" s="201" t="s">
        <v>68</v>
      </c>
      <c r="B39" s="202"/>
      <c r="C39" s="203" t="s">
        <v>90</v>
      </c>
      <c r="D39" s="202"/>
      <c r="E39" s="202"/>
      <c r="F39" s="203" t="s">
        <v>70</v>
      </c>
      <c r="G39" s="202"/>
      <c r="H39" s="202"/>
      <c r="I39" s="203" t="s">
        <v>91</v>
      </c>
      <c r="J39" s="204"/>
      <c r="K39" s="204"/>
      <c r="L39" s="133" t="s">
        <v>257</v>
      </c>
      <c r="M39" s="9"/>
      <c r="R39" s="194" t="s">
        <v>258</v>
      </c>
      <c r="S39" s="128">
        <v>40</v>
      </c>
      <c r="T39" s="91"/>
      <c r="U39" s="91">
        <f>COUNTIF(C21:O34,"=40")</f>
        <v>0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169</v>
      </c>
      <c r="D40" s="207"/>
      <c r="E40" s="207"/>
      <c r="F40" s="206" t="s">
        <v>170</v>
      </c>
      <c r="G40" s="207"/>
      <c r="H40" s="207"/>
      <c r="I40" s="206" t="s">
        <v>154</v>
      </c>
      <c r="J40" s="208"/>
      <c r="K40" s="208"/>
      <c r="L40" s="134" t="s">
        <v>259</v>
      </c>
      <c r="M40" s="9"/>
      <c r="R40" s="195"/>
      <c r="S40" s="129">
        <v>41</v>
      </c>
      <c r="T40" s="95"/>
      <c r="U40" s="95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171</v>
      </c>
      <c r="D41" s="207"/>
      <c r="E41" s="207"/>
      <c r="F41" s="206" t="s">
        <v>94</v>
      </c>
      <c r="G41" s="207"/>
      <c r="H41" s="207"/>
      <c r="I41" s="206" t="s">
        <v>172</v>
      </c>
      <c r="J41" s="208"/>
      <c r="K41" s="208"/>
      <c r="L41" s="134" t="s">
        <v>260</v>
      </c>
      <c r="M41" s="9"/>
      <c r="R41" s="195"/>
      <c r="S41" s="129">
        <v>42</v>
      </c>
      <c r="T41" s="95"/>
      <c r="U41" s="95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173</v>
      </c>
      <c r="D42" s="207"/>
      <c r="E42" s="207"/>
      <c r="F42" s="206" t="s">
        <v>174</v>
      </c>
      <c r="G42" s="207"/>
      <c r="H42" s="207"/>
      <c r="I42" s="206" t="s">
        <v>175</v>
      </c>
      <c r="J42" s="208"/>
      <c r="K42" s="208"/>
      <c r="L42" s="134" t="s">
        <v>261</v>
      </c>
      <c r="M42" s="9"/>
      <c r="R42" s="195"/>
      <c r="S42" s="129">
        <v>43</v>
      </c>
      <c r="T42" s="95"/>
      <c r="U42" s="95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95"/>
      <c r="S43" s="129">
        <v>44</v>
      </c>
      <c r="T43" s="95" t="s">
        <v>255</v>
      </c>
      <c r="U43" s="95">
        <f>COUNTIF(C21:O34,"=44")</f>
        <v>0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0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8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8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2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2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4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3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3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14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48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J29" sqref="J29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293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285</v>
      </c>
      <c r="U2" s="88">
        <f>COUNTIF(C21:O34,"=1")</f>
        <v>3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7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286</v>
      </c>
      <c r="U3" s="93">
        <f>COUNTIF(C21:O34,"=2")</f>
        <v>3</v>
      </c>
      <c r="V3" s="195"/>
      <c r="W3" s="9"/>
      <c r="X3" s="96" t="s">
        <v>211</v>
      </c>
      <c r="Y3" s="95" t="s">
        <v>212</v>
      </c>
      <c r="Z3" s="93">
        <f>COUNTIF(B21:P34,"=b")</f>
        <v>14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にたいみ、はんたいのいみのことば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にたいみ、はんたいのいみのことば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わたしはおねえさん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わたしはおねえさん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わたしはおねえさん</v>
      </c>
      <c r="P4" s="87" t="str">
        <f>LOOKUP(P21,$X$2:$Y$43,$Y$2:$Y$43)</f>
        <v>現</v>
      </c>
      <c r="Q4" s="9"/>
      <c r="R4" s="195"/>
      <c r="S4" s="94">
        <v>3</v>
      </c>
      <c r="T4" s="95" t="s">
        <v>287</v>
      </c>
      <c r="U4" s="93">
        <f>COUNTIF(C21:O34,"=3")</f>
        <v>3</v>
      </c>
      <c r="V4" s="195"/>
      <c r="W4" s="9"/>
      <c r="X4" s="96" t="s">
        <v>214</v>
      </c>
      <c r="Y4" s="95" t="s">
        <v>215</v>
      </c>
      <c r="Z4" s="93">
        <f>COUNTIF(B21:P34,"=c")</f>
        <v>11</v>
      </c>
      <c r="AA4" s="9"/>
    </row>
    <row r="5" spans="1:27" ht="14.1" customHeight="1" x14ac:dyDescent="0.15">
      <c r="A5" s="99">
        <v>2</v>
      </c>
      <c r="B5" s="100" t="str">
        <f>LOOKUP(B22,$X$2:$Y$43,$Y$2:$Y$43)</f>
        <v>算　数</v>
      </c>
      <c r="C5" s="101" t="str">
        <f>LOOKUP(C22,$S$2:$T$69,$T$2:$T$69)</f>
        <v>三角形と四角形</v>
      </c>
      <c r="D5" s="101" t="str">
        <f t="shared" si="0"/>
        <v>現</v>
      </c>
      <c r="E5" s="100" t="str">
        <f t="shared" si="0"/>
        <v>国　語</v>
      </c>
      <c r="F5" s="101" t="str">
        <f>LOOKUP(F22,$S$2:$T$69,$T$2:$T$69)</f>
        <v>にたいみ、はんたいのいみのことば</v>
      </c>
      <c r="G5" s="101" t="str">
        <f t="shared" si="1"/>
        <v>現</v>
      </c>
      <c r="H5" s="100" t="str">
        <f t="shared" si="1"/>
        <v>算　数</v>
      </c>
      <c r="I5" s="101" t="str">
        <f>LOOKUP(I22,$S$2:$T$69,$T$2:$T$69)</f>
        <v>三角形と四角形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三角形と四角形</v>
      </c>
      <c r="M5" s="101" t="str">
        <f t="shared" si="3"/>
        <v>現</v>
      </c>
      <c r="N5" s="100" t="str">
        <f t="shared" si="3"/>
        <v>算　数</v>
      </c>
      <c r="O5" s="101" t="str">
        <f>LOOKUP(O22,$S$2:$T$69,$T$2:$T$69)</f>
        <v>三角形と四角形</v>
      </c>
      <c r="P5" s="101" t="str">
        <f>LOOKUP(P22,$X$2:$Y$43,$Y$2:$Y$43)</f>
        <v>現</v>
      </c>
      <c r="Q5" s="9"/>
      <c r="R5" s="195"/>
      <c r="S5" s="94">
        <v>4</v>
      </c>
      <c r="T5" s="95" t="s">
        <v>288</v>
      </c>
      <c r="U5" s="93">
        <f>COUNTIF(C21:O34,"=4")</f>
        <v>3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国　語</v>
      </c>
      <c r="C6" s="101" t="str">
        <f>LOOKUP(C23,$S$2:$T$69,$T$2:$T$69)</f>
        <v>にている漢字（小1）</v>
      </c>
      <c r="D6" s="101" t="str">
        <f t="shared" si="0"/>
        <v>ス</v>
      </c>
      <c r="E6" s="100" t="str">
        <f t="shared" si="0"/>
        <v>算　数</v>
      </c>
      <c r="F6" s="101" t="str">
        <f>LOOKUP(F23,$S$2:$T$69,$T$2:$T$69)</f>
        <v>いろいろなかたち（小1）</v>
      </c>
      <c r="G6" s="101" t="str">
        <f t="shared" si="1"/>
        <v>ス</v>
      </c>
      <c r="H6" s="100" t="str">
        <f t="shared" si="1"/>
        <v>算　数</v>
      </c>
      <c r="I6" s="101" t="str">
        <f>LOOKUP(I23,$S$2:$T$69,$T$2:$T$69)</f>
        <v>三角形と四角形</v>
      </c>
      <c r="J6" s="101" t="str">
        <f t="shared" si="2"/>
        <v>現</v>
      </c>
      <c r="K6" s="100" t="str">
        <f t="shared" si="2"/>
        <v>日本語</v>
      </c>
      <c r="L6" s="101" t="str">
        <f>LOOKUP(L23,$S$2:$T$69,$T$2:$T$69)</f>
        <v>日本の文化</v>
      </c>
      <c r="M6" s="101" t="str">
        <f t="shared" si="3"/>
        <v>ス</v>
      </c>
      <c r="N6" s="100" t="str">
        <f t="shared" si="3"/>
        <v>算　数</v>
      </c>
      <c r="O6" s="101" t="str">
        <f>LOOKUP(O23,$S$2:$T$69,$T$2:$T$69)</f>
        <v>三角形と四角形</v>
      </c>
      <c r="P6" s="101" t="str">
        <f>LOOKUP(P23,$X$2:$Y$43,$Y$2:$Y$43)</f>
        <v>現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日本語</v>
      </c>
      <c r="C7" s="101" t="str">
        <f>LOOKUP(C24,$S$2:$T$69,$T$2:$T$69)</f>
        <v>語彙</v>
      </c>
      <c r="D7" s="101" t="str">
        <f t="shared" si="0"/>
        <v>ス</v>
      </c>
      <c r="E7" s="100" t="str">
        <f t="shared" si="0"/>
        <v>国　語</v>
      </c>
      <c r="F7" s="101" t="str">
        <f>LOOKUP(F24,$S$2:$T$69,$T$2:$T$69)</f>
        <v>かずとかんじ（小1）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いろいろなかたち（小1）</v>
      </c>
      <c r="J7" s="101" t="str">
        <f t="shared" si="2"/>
        <v>ス</v>
      </c>
      <c r="K7" s="100" t="str">
        <f t="shared" si="2"/>
        <v>算　数</v>
      </c>
      <c r="L7" s="101" t="str">
        <f>LOOKUP(L24,$S$2:$T$69,$T$2:$T$69)</f>
        <v>いろいろなかたち（小1）</v>
      </c>
      <c r="M7" s="101" t="str">
        <f t="shared" si="3"/>
        <v>ス</v>
      </c>
      <c r="N7" s="100" t="str">
        <f t="shared" si="3"/>
        <v>算　数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1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かん字の広場④</v>
      </c>
      <c r="D9" s="87" t="str">
        <f t="shared" ref="D9:E12" si="4">LOOKUP(D26,$X$2:$Y$43,$Y$2:$Y$43)</f>
        <v>現</v>
      </c>
      <c r="E9" s="98" t="str">
        <f t="shared" si="4"/>
        <v>国　語</v>
      </c>
      <c r="F9" s="87" t="str">
        <f>LOOKUP(F26,$S$2:$T$69,$T$2:$T$69)</f>
        <v>かん字の広場④</v>
      </c>
      <c r="G9" s="87" t="str">
        <f t="shared" ref="G9:H12" si="5">LOOKUP(G26,$X$2:$Y$43,$Y$2:$Y$43)</f>
        <v>現</v>
      </c>
      <c r="H9" s="98" t="str">
        <f t="shared" si="5"/>
        <v>国　語</v>
      </c>
      <c r="I9" s="87" t="str">
        <f>LOOKUP(I26,$S$2:$T$69,$T$2:$T$69)</f>
        <v>冬がいっぱい</v>
      </c>
      <c r="J9" s="87" t="str">
        <f t="shared" ref="J9:K12" si="6">LOOKUP(J26,$X$2:$Y$43,$Y$2:$Y$43)</f>
        <v>現</v>
      </c>
      <c r="K9" s="98" t="str">
        <f t="shared" si="6"/>
        <v>国　語</v>
      </c>
      <c r="L9" s="87" t="str">
        <f>LOOKUP(L26,$S$2:$T$69,$T$2:$T$69)</f>
        <v>冬がいっぱい</v>
      </c>
      <c r="M9" s="87" t="str">
        <f t="shared" ref="M9:N12" si="7">LOOKUP(M26,$X$2:$Y$43,$Y$2:$Y$43)</f>
        <v>現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図　工</v>
      </c>
      <c r="C10" s="101" t="str">
        <f>LOOKUP(C27,$S$2:$T$69,$T$2:$T$69)</f>
        <v>学習用具・教科用語</v>
      </c>
      <c r="D10" s="101" t="str">
        <f t="shared" si="4"/>
        <v>現</v>
      </c>
      <c r="E10" s="100" t="str">
        <f t="shared" si="4"/>
        <v>国　語</v>
      </c>
      <c r="F10" s="101" t="str">
        <f>LOOKUP(F27,$S$2:$T$69,$T$2:$T$69)</f>
        <v>かん字の広場④</v>
      </c>
      <c r="G10" s="101" t="str">
        <f t="shared" si="5"/>
        <v>現</v>
      </c>
      <c r="H10" s="100" t="str">
        <f t="shared" si="5"/>
        <v>生活科</v>
      </c>
      <c r="I10" s="101" t="str">
        <f>LOOKUP(I27,$S$2:$T$69,$T$2:$T$69)</f>
        <v>学習用具・教科用語</v>
      </c>
      <c r="J10" s="101" t="str">
        <f t="shared" si="6"/>
        <v>現</v>
      </c>
      <c r="K10" s="100" t="str">
        <f t="shared" si="6"/>
        <v>国　語</v>
      </c>
      <c r="L10" s="101" t="str">
        <f>LOOKUP(L27,$S$2:$T$69,$T$2:$T$69)</f>
        <v>冬がいっぱい</v>
      </c>
      <c r="M10" s="101" t="str">
        <f t="shared" si="7"/>
        <v>現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12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日本語</v>
      </c>
      <c r="C11" s="101" t="str">
        <f>LOOKUP(C28,$S$2:$T$69,$T$2:$T$69)</f>
        <v>家庭生活</v>
      </c>
      <c r="D11" s="101" t="str">
        <f t="shared" si="4"/>
        <v>ス</v>
      </c>
      <c r="E11" s="100" t="str">
        <f t="shared" si="4"/>
        <v>算　数</v>
      </c>
      <c r="F11" s="101" t="str">
        <f>LOOKUP(F28,$S$2:$T$69,$T$2:$T$69)</f>
        <v>学習用具・教科用語</v>
      </c>
      <c r="G11" s="101" t="str">
        <f t="shared" si="5"/>
        <v>ス</v>
      </c>
      <c r="H11" s="100" t="str">
        <f t="shared" si="5"/>
        <v>日本語</v>
      </c>
      <c r="I11" s="101" t="str">
        <f>LOOKUP(I28,$S$2:$T$69,$T$2:$T$69)</f>
        <v>学校生活</v>
      </c>
      <c r="J11" s="101" t="str">
        <f t="shared" si="6"/>
        <v>ス</v>
      </c>
      <c r="K11" s="100" t="str">
        <f t="shared" si="6"/>
        <v>体　育</v>
      </c>
      <c r="L11" s="101" t="str">
        <f>LOOKUP(L28,$S$2:$T$69,$T$2:$T$69)</f>
        <v>学習用具・教科用語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289</v>
      </c>
      <c r="U11" s="88">
        <f>COUNTIF(C21:O34,"=10")</f>
        <v>1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音　楽</v>
      </c>
      <c r="C12" s="101" t="str">
        <f>LOOKUP(C29,$S$2:$T$69,$T$2:$T$69)</f>
        <v>学習用具・教科用語</v>
      </c>
      <c r="D12" s="101" t="str">
        <f t="shared" si="4"/>
        <v>ス</v>
      </c>
      <c r="E12" s="100" t="str">
        <f t="shared" si="4"/>
        <v>日本語</v>
      </c>
      <c r="F12" s="101" t="str">
        <f>LOOKUP(F29,$S$2:$T$69,$T$2:$T$69)</f>
        <v>日本語能力試験</v>
      </c>
      <c r="G12" s="101" t="str">
        <f t="shared" si="5"/>
        <v>ス</v>
      </c>
      <c r="H12" s="100" t="str">
        <f t="shared" si="5"/>
        <v>日本語</v>
      </c>
      <c r="I12" s="101" t="str">
        <f>LOOKUP(I29,$S$2:$T$69,$T$2:$T$69)</f>
        <v>語彙</v>
      </c>
      <c r="J12" s="101" t="str">
        <f t="shared" si="6"/>
        <v>ス</v>
      </c>
      <c r="K12" s="100" t="str">
        <f t="shared" si="6"/>
        <v>日本語</v>
      </c>
      <c r="L12" s="101" t="str">
        <f>LOOKUP(L29,$S$2:$T$69,$T$2:$T$69)</f>
        <v>日本語能力試験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290</v>
      </c>
      <c r="U12" s="93">
        <f>COUNTIF(C21:O34,"=11")</f>
        <v>1</v>
      </c>
      <c r="V12" s="195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36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2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14</v>
      </c>
      <c r="V18" s="195"/>
      <c r="W18" s="9"/>
      <c r="X18" s="109">
        <v>50</v>
      </c>
      <c r="Y18" s="110" t="s">
        <v>241</v>
      </c>
      <c r="Z18" s="105">
        <f>COUNTIF(C21:P34,"=50")</f>
        <v>20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291</v>
      </c>
      <c r="U19" s="88">
        <f>COUNTIF(C21:O34,"=22")</f>
        <v>6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16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/>
      <c r="U20" s="93">
        <f>COUNTIF(C21:O34,"=23")</f>
        <v>0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2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214</v>
      </c>
      <c r="C22" s="117">
        <v>22</v>
      </c>
      <c r="D22" s="118">
        <v>50</v>
      </c>
      <c r="E22" s="116" t="s">
        <v>211</v>
      </c>
      <c r="F22" s="117">
        <v>1</v>
      </c>
      <c r="G22" s="118">
        <v>50</v>
      </c>
      <c r="H22" s="116" t="s">
        <v>214</v>
      </c>
      <c r="I22" s="117">
        <v>22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214</v>
      </c>
      <c r="O22" s="117">
        <v>22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211</v>
      </c>
      <c r="C23" s="117">
        <v>10</v>
      </c>
      <c r="D23" s="119">
        <v>51</v>
      </c>
      <c r="E23" s="116" t="s">
        <v>214</v>
      </c>
      <c r="F23" s="117">
        <v>27</v>
      </c>
      <c r="G23" s="119">
        <v>51</v>
      </c>
      <c r="H23" s="116" t="s">
        <v>214</v>
      </c>
      <c r="I23" s="117">
        <v>22</v>
      </c>
      <c r="J23" s="118">
        <v>50</v>
      </c>
      <c r="K23" s="116" t="s">
        <v>209</v>
      </c>
      <c r="L23" s="117">
        <v>53</v>
      </c>
      <c r="M23" s="119">
        <v>51</v>
      </c>
      <c r="N23" s="116" t="s">
        <v>214</v>
      </c>
      <c r="O23" s="117">
        <v>22</v>
      </c>
      <c r="P23" s="118">
        <v>50</v>
      </c>
      <c r="Q23" s="9"/>
      <c r="R23" s="195"/>
      <c r="S23" s="88"/>
      <c r="T23" s="104" t="s">
        <v>229</v>
      </c>
      <c r="U23" s="105">
        <f>SUM(U19:U22)</f>
        <v>6</v>
      </c>
      <c r="V23" s="195"/>
      <c r="W23" s="9"/>
      <c r="X23" s="2"/>
    </row>
    <row r="24" spans="1:27" ht="14.25" x14ac:dyDescent="0.15">
      <c r="A24" s="99">
        <v>4</v>
      </c>
      <c r="B24" s="116" t="s">
        <v>209</v>
      </c>
      <c r="C24" s="117">
        <v>57</v>
      </c>
      <c r="D24" s="119">
        <v>51</v>
      </c>
      <c r="E24" s="116" t="s">
        <v>211</v>
      </c>
      <c r="F24" s="117">
        <v>11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214</v>
      </c>
      <c r="L24" s="117">
        <v>27</v>
      </c>
      <c r="M24" s="119">
        <v>51</v>
      </c>
      <c r="N24" s="116" t="s">
        <v>214</v>
      </c>
      <c r="O24" s="117">
        <v>33</v>
      </c>
      <c r="P24" s="119">
        <v>51</v>
      </c>
      <c r="Q24" s="9"/>
      <c r="R24" s="195"/>
      <c r="S24" s="86">
        <v>27</v>
      </c>
      <c r="T24" s="91" t="s">
        <v>292</v>
      </c>
      <c r="U24" s="88">
        <f>COUNTIF(C21:O34,"=27")</f>
        <v>3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/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13" t="s">
        <v>211</v>
      </c>
      <c r="F26" s="114">
        <v>3</v>
      </c>
      <c r="G26" s="115">
        <v>50</v>
      </c>
      <c r="H26" s="113" t="s">
        <v>211</v>
      </c>
      <c r="I26" s="114">
        <v>4</v>
      </c>
      <c r="J26" s="115">
        <v>50</v>
      </c>
      <c r="K26" s="113" t="s">
        <v>211</v>
      </c>
      <c r="L26" s="114">
        <v>4</v>
      </c>
      <c r="M26" s="115">
        <v>50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/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225</v>
      </c>
      <c r="C27" s="117">
        <v>47</v>
      </c>
      <c r="D27" s="118">
        <v>50</v>
      </c>
      <c r="E27" s="116" t="s">
        <v>211</v>
      </c>
      <c r="F27" s="117">
        <v>3</v>
      </c>
      <c r="G27" s="118">
        <v>50</v>
      </c>
      <c r="H27" s="116" t="s">
        <v>236</v>
      </c>
      <c r="I27" s="117">
        <v>47</v>
      </c>
      <c r="J27" s="118">
        <v>50</v>
      </c>
      <c r="K27" s="116" t="s">
        <v>211</v>
      </c>
      <c r="L27" s="117">
        <v>4</v>
      </c>
      <c r="M27" s="118">
        <v>50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209</v>
      </c>
      <c r="C28" s="117">
        <v>58</v>
      </c>
      <c r="D28" s="119">
        <v>51</v>
      </c>
      <c r="E28" s="116" t="s">
        <v>214</v>
      </c>
      <c r="F28" s="117">
        <v>33</v>
      </c>
      <c r="G28" s="119">
        <v>51</v>
      </c>
      <c r="H28" s="116" t="s">
        <v>209</v>
      </c>
      <c r="I28" s="117">
        <v>59</v>
      </c>
      <c r="J28" s="119">
        <v>51</v>
      </c>
      <c r="K28" s="116" t="s">
        <v>234</v>
      </c>
      <c r="L28" s="117">
        <v>47</v>
      </c>
      <c r="M28" s="119">
        <v>51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227</v>
      </c>
      <c r="C29" s="117">
        <v>47</v>
      </c>
      <c r="D29" s="119">
        <v>51</v>
      </c>
      <c r="E29" s="116" t="s">
        <v>209</v>
      </c>
      <c r="F29" s="117">
        <v>55</v>
      </c>
      <c r="G29" s="119">
        <v>51</v>
      </c>
      <c r="H29" s="116" t="s">
        <v>209</v>
      </c>
      <c r="I29" s="117">
        <v>57</v>
      </c>
      <c r="J29" s="119">
        <v>51</v>
      </c>
      <c r="K29" s="116" t="s">
        <v>209</v>
      </c>
      <c r="L29" s="117">
        <v>55</v>
      </c>
      <c r="M29" s="119">
        <v>51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 t="s">
        <v>255</v>
      </c>
      <c r="U30" s="95">
        <f>COUNTIF(C21:O34,"=33")</f>
        <v>2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8" t="s">
        <v>239</v>
      </c>
      <c r="U31" s="105">
        <f>SUM(U24:U30)</f>
        <v>5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11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/>
      <c r="U33" s="91">
        <f>COUNTIF(C21:O34,"=35")</f>
        <v>0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5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5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5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5">
        <f>COUNTIF(C21:O34,"=39")</f>
        <v>0</v>
      </c>
      <c r="V37" s="195"/>
      <c r="W37" s="9"/>
      <c r="X37" s="2"/>
    </row>
    <row r="38" spans="1:24" ht="15.6" customHeight="1" x14ac:dyDescent="0.2">
      <c r="B38" s="76" t="s">
        <v>176</v>
      </c>
      <c r="I38" s="25"/>
      <c r="J38" s="25"/>
      <c r="K38" s="25"/>
      <c r="R38" s="195"/>
      <c r="S38" s="88"/>
      <c r="T38" s="108" t="s">
        <v>256</v>
      </c>
      <c r="U38" s="105">
        <f>SUM(U33:U37)</f>
        <v>0</v>
      </c>
      <c r="V38" s="195"/>
      <c r="W38" s="9"/>
      <c r="X38" s="2"/>
    </row>
    <row r="39" spans="1:24" ht="14.25" x14ac:dyDescent="0.15">
      <c r="A39" s="201" t="s">
        <v>68</v>
      </c>
      <c r="B39" s="202"/>
      <c r="C39" s="210" t="s">
        <v>90</v>
      </c>
      <c r="D39" s="202"/>
      <c r="E39" s="202"/>
      <c r="F39" s="210" t="s">
        <v>70</v>
      </c>
      <c r="G39" s="202"/>
      <c r="H39" s="202"/>
      <c r="I39" s="210" t="s">
        <v>91</v>
      </c>
      <c r="J39" s="204"/>
      <c r="K39" s="204"/>
      <c r="L39" s="133" t="s">
        <v>257</v>
      </c>
      <c r="M39" s="9"/>
      <c r="R39" s="194" t="s">
        <v>258</v>
      </c>
      <c r="S39" s="128">
        <v>40</v>
      </c>
      <c r="T39" s="91"/>
      <c r="U39" s="91">
        <f>COUNTIF(C21:O34,"=40")</f>
        <v>0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177</v>
      </c>
      <c r="D40" s="207"/>
      <c r="E40" s="207"/>
      <c r="F40" s="206" t="s">
        <v>178</v>
      </c>
      <c r="G40" s="207"/>
      <c r="H40" s="207"/>
      <c r="I40" s="206" t="s">
        <v>132</v>
      </c>
      <c r="J40" s="208"/>
      <c r="K40" s="208"/>
      <c r="L40" s="134" t="s">
        <v>277</v>
      </c>
      <c r="M40" s="9"/>
      <c r="R40" s="195"/>
      <c r="S40" s="129">
        <v>41</v>
      </c>
      <c r="T40" s="95"/>
      <c r="U40" s="95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179</v>
      </c>
      <c r="D41" s="207"/>
      <c r="E41" s="207"/>
      <c r="F41" s="206" t="s">
        <v>180</v>
      </c>
      <c r="G41" s="207"/>
      <c r="H41" s="207"/>
      <c r="I41" s="206" t="s">
        <v>136</v>
      </c>
      <c r="J41" s="208"/>
      <c r="K41" s="208"/>
      <c r="L41" s="134" t="s">
        <v>278</v>
      </c>
      <c r="M41" s="9"/>
      <c r="R41" s="195"/>
      <c r="S41" s="129">
        <v>42</v>
      </c>
      <c r="T41" s="95"/>
      <c r="U41" s="95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181</v>
      </c>
      <c r="D42" s="207"/>
      <c r="E42" s="207"/>
      <c r="F42" s="206" t="s">
        <v>179</v>
      </c>
      <c r="G42" s="207"/>
      <c r="H42" s="207"/>
      <c r="I42" s="206" t="s">
        <v>162</v>
      </c>
      <c r="J42" s="208"/>
      <c r="K42" s="208"/>
      <c r="L42" s="134" t="s">
        <v>279</v>
      </c>
      <c r="M42" s="9"/>
      <c r="R42" s="195"/>
      <c r="S42" s="129">
        <v>43</v>
      </c>
      <c r="T42" s="95"/>
      <c r="U42" s="95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95"/>
      <c r="S43" s="129">
        <v>44</v>
      </c>
      <c r="T43" s="95" t="s">
        <v>255</v>
      </c>
      <c r="U43" s="95">
        <f>COUNTIF(C21:O34,"=44")</f>
        <v>0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0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4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4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2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2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1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1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7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36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26" sqref="T26"/>
    </sheetView>
  </sheetViews>
  <sheetFormatPr defaultColWidth="10.85546875" defaultRowHeight="13.7" customHeight="1" x14ac:dyDescent="0.15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2" customWidth="1"/>
    <col min="25" max="25" width="8.85546875" customWidth="1"/>
    <col min="26" max="30" width="3.5703125" customWidth="1"/>
  </cols>
  <sheetData>
    <row r="1" spans="1:27" ht="13.5" customHeight="1" x14ac:dyDescent="0.15">
      <c r="B1" s="83"/>
      <c r="C1" s="27"/>
      <c r="T1" t="s">
        <v>204</v>
      </c>
      <c r="X1" s="2"/>
    </row>
    <row r="2" spans="1:27" ht="16.5" customHeight="1" x14ac:dyDescent="0.2">
      <c r="B2" s="84"/>
      <c r="C2" s="192" t="s">
        <v>294</v>
      </c>
      <c r="D2" s="192"/>
      <c r="E2" s="192"/>
      <c r="F2" s="192"/>
      <c r="G2" s="193"/>
      <c r="H2" s="193"/>
      <c r="I2" s="193"/>
      <c r="J2" s="193"/>
      <c r="K2" s="193"/>
      <c r="L2" s="193"/>
      <c r="M2" s="180"/>
      <c r="N2" s="180"/>
      <c r="P2" s="85"/>
      <c r="R2" s="194" t="s">
        <v>206</v>
      </c>
      <c r="S2" s="86">
        <v>1</v>
      </c>
      <c r="T2" s="87" t="s">
        <v>285</v>
      </c>
      <c r="U2" s="88">
        <f>COUNTIF(C21:O34,"=1")</f>
        <v>3</v>
      </c>
      <c r="V2" s="196" t="s">
        <v>208</v>
      </c>
      <c r="W2" s="9"/>
      <c r="X2" s="90" t="s">
        <v>209</v>
      </c>
      <c r="Y2" s="91" t="s">
        <v>69</v>
      </c>
      <c r="Z2" s="88">
        <f>COUNTIF(B21:P34,"=a")</f>
        <v>3</v>
      </c>
      <c r="AA2" s="9"/>
    </row>
    <row r="3" spans="1:27" ht="14.25" x14ac:dyDescent="0.15">
      <c r="A3" s="92"/>
      <c r="I3" s="25"/>
      <c r="J3" s="25"/>
      <c r="K3" s="25"/>
      <c r="P3" s="92"/>
      <c r="R3" s="195"/>
      <c r="S3" s="94">
        <v>2</v>
      </c>
      <c r="T3" s="95" t="s">
        <v>286</v>
      </c>
      <c r="U3" s="93">
        <f>COUNTIF(C21:O34,"=2")</f>
        <v>3</v>
      </c>
      <c r="V3" s="195"/>
      <c r="W3" s="9"/>
      <c r="X3" s="96" t="s">
        <v>211</v>
      </c>
      <c r="Y3" s="95" t="s">
        <v>212</v>
      </c>
      <c r="Z3" s="93">
        <f>COUNTIF(B21:P34,"=b")</f>
        <v>11</v>
      </c>
      <c r="AA3" s="9"/>
    </row>
    <row r="4" spans="1:27" ht="14.1" customHeight="1" x14ac:dyDescent="0.15">
      <c r="A4" s="97">
        <v>1</v>
      </c>
      <c r="B4" s="98" t="str">
        <f>LOOKUP(B21,$X$2:$Y$43,$Y$2:$Y$43)</f>
        <v>国　語</v>
      </c>
      <c r="C4" s="87" t="str">
        <f>LOOKUP(C21,$S$2:$T$69,$T$2:$T$69)</f>
        <v>にたいみ、はんたいのいみのことば</v>
      </c>
      <c r="D4" s="87" t="str">
        <f t="shared" ref="D4:E7" si="0">LOOKUP(D21,$X$2:$Y$43,$Y$2:$Y$43)</f>
        <v>現</v>
      </c>
      <c r="E4" s="98" t="str">
        <f t="shared" si="0"/>
        <v>国　語</v>
      </c>
      <c r="F4" s="87" t="str">
        <f>LOOKUP(F21,$S$2:$T$69,$T$2:$T$69)</f>
        <v>にたいみ、はんたいのいみのことば</v>
      </c>
      <c r="G4" s="87" t="str">
        <f t="shared" ref="G4:H7" si="1">LOOKUP(G21,$X$2:$Y$43,$Y$2:$Y$43)</f>
        <v>現</v>
      </c>
      <c r="H4" s="98" t="str">
        <f t="shared" si="1"/>
        <v>国　語</v>
      </c>
      <c r="I4" s="87" t="str">
        <f>LOOKUP(I21,$S$2:$T$69,$T$2:$T$69)</f>
        <v>わたしはおねえさん</v>
      </c>
      <c r="J4" s="87" t="str">
        <f t="shared" ref="J4:K7" si="2">LOOKUP(J21,$X$2:$Y$43,$Y$2:$Y$43)</f>
        <v>現</v>
      </c>
      <c r="K4" s="98" t="str">
        <f t="shared" si="2"/>
        <v>国　語</v>
      </c>
      <c r="L4" s="87" t="str">
        <f>LOOKUP(L21,$S$2:$T$69,$T$2:$T$69)</f>
        <v>わたしはおねえさん</v>
      </c>
      <c r="M4" s="87" t="str">
        <f t="shared" ref="M4:N7" si="3">LOOKUP(M21,$X$2:$Y$43,$Y$2:$Y$43)</f>
        <v>現</v>
      </c>
      <c r="N4" s="98" t="str">
        <f t="shared" si="3"/>
        <v>国　語</v>
      </c>
      <c r="O4" s="87" t="str">
        <f>LOOKUP(O21,$S$2:$T$69,$T$2:$T$69)</f>
        <v>かん字の広場④</v>
      </c>
      <c r="P4" s="87" t="str">
        <f>LOOKUP(P21,$X$2:$Y$43,$Y$2:$Y$43)</f>
        <v>現</v>
      </c>
      <c r="Q4" s="9"/>
      <c r="R4" s="195"/>
      <c r="S4" s="94">
        <v>3</v>
      </c>
      <c r="T4" s="95" t="s">
        <v>287</v>
      </c>
      <c r="U4" s="93">
        <f>COUNTIF(C21:O34,"=3")</f>
        <v>3</v>
      </c>
      <c r="V4" s="195"/>
      <c r="W4" s="9"/>
      <c r="X4" s="96" t="s">
        <v>214</v>
      </c>
      <c r="Y4" s="95" t="s">
        <v>215</v>
      </c>
      <c r="Z4" s="93">
        <f>COUNTIF(B21:P34,"=c")</f>
        <v>7</v>
      </c>
      <c r="AA4" s="9"/>
    </row>
    <row r="5" spans="1:27" ht="14.1" customHeight="1" x14ac:dyDescent="0.15">
      <c r="A5" s="99">
        <v>2</v>
      </c>
      <c r="B5" s="100" t="str">
        <f>LOOKUP(B22,$X$2:$Y$43,$Y$2:$Y$43)</f>
        <v>国　語</v>
      </c>
      <c r="C5" s="101" t="str">
        <f>LOOKUP(C22,$S$2:$T$69,$T$2:$T$69)</f>
        <v>にたいみ、はんたいのいみのことば</v>
      </c>
      <c r="D5" s="101" t="str">
        <f t="shared" si="0"/>
        <v>現</v>
      </c>
      <c r="E5" s="100" t="str">
        <f t="shared" si="0"/>
        <v>算　数</v>
      </c>
      <c r="F5" s="101" t="str">
        <f>LOOKUP(F22,$S$2:$T$69,$T$2:$T$69)</f>
        <v>三角形と四角形</v>
      </c>
      <c r="G5" s="101" t="str">
        <f t="shared" si="1"/>
        <v>現</v>
      </c>
      <c r="H5" s="100" t="str">
        <f t="shared" si="1"/>
        <v>国　語</v>
      </c>
      <c r="I5" s="101" t="str">
        <f>LOOKUP(I22,$S$2:$T$69,$T$2:$T$69)</f>
        <v>わたしはおねえさん</v>
      </c>
      <c r="J5" s="101" t="str">
        <f t="shared" si="2"/>
        <v>現</v>
      </c>
      <c r="K5" s="100" t="str">
        <f t="shared" si="2"/>
        <v>算　数</v>
      </c>
      <c r="L5" s="101" t="str">
        <f>LOOKUP(L22,$S$2:$T$69,$T$2:$T$69)</f>
        <v>三角形と四角形</v>
      </c>
      <c r="M5" s="101" t="str">
        <f t="shared" si="3"/>
        <v>現</v>
      </c>
      <c r="N5" s="100" t="str">
        <f t="shared" si="3"/>
        <v>国　語</v>
      </c>
      <c r="O5" s="101" t="str">
        <f>LOOKUP(O22,$S$2:$T$69,$T$2:$T$69)</f>
        <v>かん字の広場④</v>
      </c>
      <c r="P5" s="101" t="str">
        <f>LOOKUP(P22,$X$2:$Y$43,$Y$2:$Y$43)</f>
        <v>現</v>
      </c>
      <c r="Q5" s="9"/>
      <c r="R5" s="195"/>
      <c r="S5" s="94">
        <v>4</v>
      </c>
      <c r="T5" s="95" t="s">
        <v>288</v>
      </c>
      <c r="U5" s="93">
        <f>COUNTIF(C21:O34,"=4")</f>
        <v>2</v>
      </c>
      <c r="V5" s="195"/>
      <c r="W5" s="9"/>
      <c r="X5" s="96" t="s">
        <v>217</v>
      </c>
      <c r="Y5" s="95" t="s">
        <v>218</v>
      </c>
      <c r="Z5" s="93">
        <f>COUNTIF(B21:P34,"=d")</f>
        <v>0</v>
      </c>
      <c r="AA5" s="9"/>
    </row>
    <row r="6" spans="1:27" ht="14.1" customHeight="1" x14ac:dyDescent="0.15">
      <c r="A6" s="99">
        <v>3</v>
      </c>
      <c r="B6" s="100" t="str">
        <f>LOOKUP(B23,$X$2:$Y$43,$Y$2:$Y$43)</f>
        <v>算　数</v>
      </c>
      <c r="C6" s="101" t="str">
        <f>LOOKUP(C23,$S$2:$T$69,$T$2:$T$69)</f>
        <v>三角形と四角形</v>
      </c>
      <c r="D6" s="101" t="str">
        <f t="shared" si="0"/>
        <v>現</v>
      </c>
      <c r="E6" s="100" t="str">
        <f t="shared" si="0"/>
        <v>音　楽</v>
      </c>
      <c r="F6" s="101" t="str">
        <f>LOOKUP(F23,$S$2:$T$69,$T$2:$T$69)</f>
        <v>学習用具・教科用語</v>
      </c>
      <c r="G6" s="101" t="str">
        <f t="shared" si="1"/>
        <v>現</v>
      </c>
      <c r="H6" s="100" t="str">
        <f t="shared" si="1"/>
        <v>算　数</v>
      </c>
      <c r="I6" s="101" t="str">
        <f>LOOKUP(I23,$S$2:$T$69,$T$2:$T$69)</f>
        <v>三角形と四角形</v>
      </c>
      <c r="J6" s="101" t="str">
        <f t="shared" si="2"/>
        <v>現</v>
      </c>
      <c r="K6" s="100" t="str">
        <f t="shared" si="2"/>
        <v>生活科</v>
      </c>
      <c r="L6" s="101" t="str">
        <f>LOOKUP(L23,$S$2:$T$69,$T$2:$T$69)</f>
        <v>学習用具・教科用語</v>
      </c>
      <c r="M6" s="101" t="str">
        <f t="shared" si="3"/>
        <v>現</v>
      </c>
      <c r="N6" s="100" t="str">
        <f t="shared" si="3"/>
        <v>算　数</v>
      </c>
      <c r="O6" s="101" t="str">
        <f>LOOKUP(O23,$S$2:$T$69,$T$2:$T$69)</f>
        <v>三角形と四角形</v>
      </c>
      <c r="P6" s="101" t="str">
        <f>LOOKUP(P23,$X$2:$Y$43,$Y$2:$Y$43)</f>
        <v>現</v>
      </c>
      <c r="Q6" s="9"/>
      <c r="R6" s="195"/>
      <c r="S6" s="94">
        <v>5</v>
      </c>
      <c r="T6" s="95"/>
      <c r="U6" s="93">
        <f>COUNTIF(C21:O34,"=5")</f>
        <v>0</v>
      </c>
      <c r="V6" s="195"/>
      <c r="W6" s="9"/>
      <c r="X6" s="96" t="s">
        <v>220</v>
      </c>
      <c r="Y6" s="95" t="s">
        <v>221</v>
      </c>
      <c r="Z6" s="93">
        <f>COUNTIF(B21:P34,"=e")</f>
        <v>0</v>
      </c>
      <c r="AA6" s="9"/>
    </row>
    <row r="7" spans="1:27" ht="14.1" customHeight="1" x14ac:dyDescent="0.15">
      <c r="A7" s="99">
        <v>4</v>
      </c>
      <c r="B7" s="100" t="str">
        <f>LOOKUP(B24,$X$2:$Y$43,$Y$2:$Y$43)</f>
        <v>算　数</v>
      </c>
      <c r="C7" s="101" t="str">
        <f>LOOKUP(C24,$S$2:$T$69,$T$2:$T$69)</f>
        <v>いろいろなかたち（小1）</v>
      </c>
      <c r="D7" s="101" t="str">
        <f t="shared" si="0"/>
        <v>ス</v>
      </c>
      <c r="E7" s="100" t="str">
        <f t="shared" si="0"/>
        <v>日本語</v>
      </c>
      <c r="F7" s="101" t="str">
        <f>LOOKUP(F24,$S$2:$T$69,$T$2:$T$69)</f>
        <v>日本語能力試験</v>
      </c>
      <c r="G7" s="101" t="str">
        <f t="shared" si="1"/>
        <v>ス</v>
      </c>
      <c r="H7" s="100" t="str">
        <f t="shared" si="1"/>
        <v>算　数</v>
      </c>
      <c r="I7" s="101" t="str">
        <f>LOOKUP(I24,$S$2:$T$69,$T$2:$T$69)</f>
        <v>いろいろなかたち（小1）</v>
      </c>
      <c r="J7" s="101" t="str">
        <f t="shared" si="2"/>
        <v>ス</v>
      </c>
      <c r="K7" s="100" t="str">
        <f t="shared" si="2"/>
        <v>日本語</v>
      </c>
      <c r="L7" s="101" t="str">
        <f>LOOKUP(L24,$S$2:$T$69,$T$2:$T$69)</f>
        <v>日本の文化</v>
      </c>
      <c r="M7" s="101" t="str">
        <f t="shared" si="3"/>
        <v>ス</v>
      </c>
      <c r="N7" s="100" t="str">
        <f t="shared" si="3"/>
        <v>体　育</v>
      </c>
      <c r="O7" s="101" t="str">
        <f>LOOKUP(O24,$S$2:$T$69,$T$2:$T$69)</f>
        <v>学習用具・教科用語</v>
      </c>
      <c r="P7" s="101" t="str">
        <f>LOOKUP(P24,$X$2:$Y$43,$Y$2:$Y$43)</f>
        <v>ス</v>
      </c>
      <c r="Q7" s="9"/>
      <c r="R7" s="195"/>
      <c r="S7" s="94">
        <v>6</v>
      </c>
      <c r="T7" s="95"/>
      <c r="U7" s="93">
        <f>COUNTIF(C21:O34,"=6")</f>
        <v>0</v>
      </c>
      <c r="V7" s="195"/>
      <c r="W7" s="9"/>
      <c r="X7" s="96" t="s">
        <v>223</v>
      </c>
      <c r="Y7" s="95" t="s">
        <v>224</v>
      </c>
      <c r="Z7" s="93">
        <f>COUNTIF(B21:P34,"=f")</f>
        <v>0</v>
      </c>
      <c r="AA7" s="9"/>
    </row>
    <row r="8" spans="1:27" ht="14.25" x14ac:dyDescent="0.15">
      <c r="A8" s="102"/>
      <c r="B8" s="103"/>
      <c r="C8" s="103"/>
      <c r="D8" s="103"/>
      <c r="E8" s="103"/>
      <c r="F8" s="103"/>
      <c r="G8" s="103"/>
      <c r="H8" s="103"/>
      <c r="I8" s="103"/>
      <c r="J8" s="47"/>
      <c r="K8" s="103"/>
      <c r="L8" s="103"/>
      <c r="M8" s="103"/>
      <c r="N8" s="103"/>
      <c r="O8" s="103"/>
      <c r="P8" s="103"/>
      <c r="R8" s="195"/>
      <c r="S8" s="94">
        <v>7</v>
      </c>
      <c r="T8" s="95"/>
      <c r="U8" s="93">
        <f>COUNTIF(C21:O34,"=7")</f>
        <v>0</v>
      </c>
      <c r="V8" s="195"/>
      <c r="W8" s="9"/>
      <c r="X8" s="96" t="s">
        <v>225</v>
      </c>
      <c r="Y8" s="95" t="s">
        <v>226</v>
      </c>
      <c r="Z8" s="93">
        <f>COUNTIF(B21:P34,"=g")</f>
        <v>0</v>
      </c>
      <c r="AA8" s="9"/>
    </row>
    <row r="9" spans="1:27" ht="14.1" customHeight="1" x14ac:dyDescent="0.15">
      <c r="A9" s="97">
        <v>5</v>
      </c>
      <c r="B9" s="98" t="str">
        <f>LOOKUP(B26,$X$2:$Y$43,$Y$2:$Y$43)</f>
        <v>国　語</v>
      </c>
      <c r="C9" s="87" t="str">
        <f>LOOKUP(C26,$S$2:$T$69,$T$2:$T$69)</f>
        <v>かん字の広場④</v>
      </c>
      <c r="D9" s="87" t="str">
        <f t="shared" ref="D9:E12" si="4">LOOKUP(D26,$X$2:$Y$43,$Y$2:$Y$43)</f>
        <v>現</v>
      </c>
      <c r="E9" s="98" t="str">
        <f t="shared" si="4"/>
        <v>ス</v>
      </c>
      <c r="F9" s="87">
        <f>LOOKUP(F26,$S$2:$T$69,$T$2:$T$69)</f>
        <v>0</v>
      </c>
      <c r="G9" s="87" t="str">
        <f t="shared" ref="G9:H12" si="5">LOOKUP(G26,$X$2:$Y$43,$Y$2:$Y$43)</f>
        <v>ス</v>
      </c>
      <c r="H9" s="98" t="str">
        <f t="shared" si="5"/>
        <v>ス</v>
      </c>
      <c r="I9" s="87">
        <f>LOOKUP(I26,$S$2:$T$69,$T$2:$T$69)</f>
        <v>0</v>
      </c>
      <c r="J9" s="87" t="str">
        <f t="shared" ref="J9:K12" si="6">LOOKUP(J26,$X$2:$Y$43,$Y$2:$Y$43)</f>
        <v>ス</v>
      </c>
      <c r="K9" s="98" t="str">
        <f t="shared" si="6"/>
        <v>ス</v>
      </c>
      <c r="L9" s="87">
        <f>LOOKUP(L26,$S$2:$T$69,$T$2:$T$69)</f>
        <v>0</v>
      </c>
      <c r="M9" s="87" t="str">
        <f t="shared" ref="M9:N12" si="7">LOOKUP(M26,$X$2:$Y$43,$Y$2:$Y$43)</f>
        <v>ス</v>
      </c>
      <c r="N9" s="98" t="str">
        <f t="shared" si="7"/>
        <v>ス</v>
      </c>
      <c r="O9" s="87">
        <f>LOOKUP(O26,$S$2:$T$69,$T$2:$T$69)</f>
        <v>0</v>
      </c>
      <c r="P9" s="87" t="str">
        <f>LOOKUP(P26,$X$2:$Y$43,$Y$2:$Y$43)</f>
        <v>ス</v>
      </c>
      <c r="Q9" s="9"/>
      <c r="R9" s="195"/>
      <c r="S9" s="94">
        <v>8</v>
      </c>
      <c r="T9" s="95"/>
      <c r="U9" s="93">
        <f>COUNTIF(C21:O34,"=8")</f>
        <v>0</v>
      </c>
      <c r="V9" s="195"/>
      <c r="W9" s="9"/>
      <c r="X9" s="96" t="s">
        <v>227</v>
      </c>
      <c r="Y9" s="95" t="s">
        <v>228</v>
      </c>
      <c r="Z9" s="93">
        <f>COUNTIF(B21:P34,"=h")</f>
        <v>1</v>
      </c>
      <c r="AA9" s="9"/>
    </row>
    <row r="10" spans="1:27" ht="14.1" customHeight="1" x14ac:dyDescent="0.15">
      <c r="A10" s="99">
        <v>6</v>
      </c>
      <c r="B10" s="100" t="str">
        <f>LOOKUP(B27,$X$2:$Y$43,$Y$2:$Y$43)</f>
        <v>国　語</v>
      </c>
      <c r="C10" s="101" t="str">
        <f>LOOKUP(C27,$S$2:$T$69,$T$2:$T$69)</f>
        <v>冬がいっぱい</v>
      </c>
      <c r="D10" s="101" t="str">
        <f t="shared" si="4"/>
        <v>現</v>
      </c>
      <c r="E10" s="100" t="str">
        <f t="shared" si="4"/>
        <v>ス</v>
      </c>
      <c r="F10" s="101">
        <f>LOOKUP(F27,$S$2:$T$69,$T$2:$T$69)</f>
        <v>0</v>
      </c>
      <c r="G10" s="101" t="str">
        <f t="shared" si="5"/>
        <v>ス</v>
      </c>
      <c r="H10" s="100" t="str">
        <f t="shared" si="5"/>
        <v>ス</v>
      </c>
      <c r="I10" s="101">
        <f>LOOKUP(I27,$S$2:$T$69,$T$2:$T$69)</f>
        <v>0</v>
      </c>
      <c r="J10" s="101" t="str">
        <f t="shared" si="6"/>
        <v>ス</v>
      </c>
      <c r="K10" s="100" t="str">
        <f t="shared" si="6"/>
        <v>ス</v>
      </c>
      <c r="L10" s="101">
        <f>LOOKUP(L27,$S$2:$T$69,$T$2:$T$69)</f>
        <v>0</v>
      </c>
      <c r="M10" s="101" t="str">
        <f t="shared" si="7"/>
        <v>ス</v>
      </c>
      <c r="N10" s="100" t="str">
        <f t="shared" si="7"/>
        <v>ス</v>
      </c>
      <c r="O10" s="101">
        <f>LOOKUP(O27,$S$2:$T$69,$T$2:$T$69)</f>
        <v>0</v>
      </c>
      <c r="P10" s="101" t="str">
        <f>LOOKUP(P27,$X$2:$Y$43,$Y$2:$Y$43)</f>
        <v>ス</v>
      </c>
      <c r="Q10" s="9"/>
      <c r="R10" s="195"/>
      <c r="S10" s="88"/>
      <c r="T10" s="104" t="s">
        <v>229</v>
      </c>
      <c r="U10" s="105">
        <f>SUM(U2:U9)</f>
        <v>11</v>
      </c>
      <c r="V10" s="195"/>
      <c r="W10" s="9"/>
      <c r="X10" s="96" t="s">
        <v>230</v>
      </c>
      <c r="Y10" s="95" t="s">
        <v>231</v>
      </c>
      <c r="Z10" s="93">
        <f>COUNTIF(B21:P34,"=i")</f>
        <v>0</v>
      </c>
      <c r="AA10" s="9"/>
    </row>
    <row r="11" spans="1:27" ht="14.1" customHeight="1" x14ac:dyDescent="0.15">
      <c r="A11" s="99">
        <v>7</v>
      </c>
      <c r="B11" s="100" t="str">
        <f>LOOKUP(B28,$X$2:$Y$43,$Y$2:$Y$43)</f>
        <v>国　語</v>
      </c>
      <c r="C11" s="101" t="str">
        <f>LOOKUP(C28,$S$2:$T$69,$T$2:$T$69)</f>
        <v>冬がいっぱい</v>
      </c>
      <c r="D11" s="101" t="str">
        <f t="shared" si="4"/>
        <v>現</v>
      </c>
      <c r="E11" s="100" t="str">
        <f t="shared" si="4"/>
        <v>ス</v>
      </c>
      <c r="F11" s="101">
        <f>LOOKUP(F28,$S$2:$T$69,$T$2:$T$69)</f>
        <v>0</v>
      </c>
      <c r="G11" s="101" t="str">
        <f t="shared" si="5"/>
        <v>ス</v>
      </c>
      <c r="H11" s="100" t="str">
        <f t="shared" si="5"/>
        <v>ス</v>
      </c>
      <c r="I11" s="101">
        <f>LOOKUP(I28,$S$2:$T$69,$T$2:$T$69)</f>
        <v>0</v>
      </c>
      <c r="J11" s="101" t="str">
        <f t="shared" si="6"/>
        <v>ス</v>
      </c>
      <c r="K11" s="100" t="str">
        <f t="shared" si="6"/>
        <v>ス</v>
      </c>
      <c r="L11" s="101">
        <f>LOOKUP(L28,$S$2:$T$69,$T$2:$T$69)</f>
        <v>0</v>
      </c>
      <c r="M11" s="101" t="str">
        <f t="shared" si="7"/>
        <v>ス</v>
      </c>
      <c r="N11" s="100" t="str">
        <f t="shared" si="7"/>
        <v>ス</v>
      </c>
      <c r="O11" s="101">
        <f>LOOKUP(O28,$S$2:$T$69,$T$2:$T$69)</f>
        <v>0</v>
      </c>
      <c r="P11" s="101" t="str">
        <f>LOOKUP(P28,$X$2:$Y$43,$Y$2:$Y$43)</f>
        <v>ス</v>
      </c>
      <c r="Q11" s="9"/>
      <c r="R11" s="195"/>
      <c r="S11" s="86">
        <v>10</v>
      </c>
      <c r="T11" s="91" t="s">
        <v>289</v>
      </c>
      <c r="U11" s="88">
        <f>COUNTIF(C21:O34,"=10")</f>
        <v>0</v>
      </c>
      <c r="V11" s="196" t="s">
        <v>233</v>
      </c>
      <c r="W11" s="9"/>
      <c r="X11" s="96" t="s">
        <v>234</v>
      </c>
      <c r="Y11" s="95" t="s">
        <v>235</v>
      </c>
      <c r="Z11" s="93">
        <f>COUNTIF(B21:P34,"=j")</f>
        <v>1</v>
      </c>
      <c r="AA11" s="9"/>
    </row>
    <row r="12" spans="1:27" ht="14.1" customHeight="1" x14ac:dyDescent="0.15">
      <c r="A12" s="99">
        <v>8</v>
      </c>
      <c r="B12" s="100" t="str">
        <f>LOOKUP(B29,$X$2:$Y$43,$Y$2:$Y$43)</f>
        <v>日本語</v>
      </c>
      <c r="C12" s="101" t="str">
        <f>LOOKUP(C29,$S$2:$T$69,$T$2:$T$69)</f>
        <v>語彙</v>
      </c>
      <c r="D12" s="101" t="str">
        <f t="shared" si="4"/>
        <v>ス</v>
      </c>
      <c r="E12" s="100" t="str">
        <f t="shared" si="4"/>
        <v>ス</v>
      </c>
      <c r="F12" s="101">
        <f>LOOKUP(F29,$S$2:$T$69,$T$2:$T$69)</f>
        <v>0</v>
      </c>
      <c r="G12" s="101" t="str">
        <f t="shared" si="5"/>
        <v>ス</v>
      </c>
      <c r="H12" s="100" t="str">
        <f t="shared" si="5"/>
        <v>ス</v>
      </c>
      <c r="I12" s="101">
        <f>LOOKUP(I29,$S$2:$T$69,$T$2:$T$69)</f>
        <v>0</v>
      </c>
      <c r="J12" s="101" t="str">
        <f t="shared" si="6"/>
        <v>ス</v>
      </c>
      <c r="K12" s="100" t="str">
        <f t="shared" si="6"/>
        <v>ス</v>
      </c>
      <c r="L12" s="101">
        <f>LOOKUP(L29,$S$2:$T$69,$T$2:$T$69)</f>
        <v>0</v>
      </c>
      <c r="M12" s="101" t="str">
        <f t="shared" si="7"/>
        <v>ス</v>
      </c>
      <c r="N12" s="100" t="str">
        <f t="shared" si="7"/>
        <v>ス</v>
      </c>
      <c r="O12" s="101">
        <f>LOOKUP(O29,$S$2:$T$69,$T$2:$T$69)</f>
        <v>0</v>
      </c>
      <c r="P12" s="101" t="str">
        <f>LOOKUP(P29,$X$2:$Y$43,$Y$2:$Y$43)</f>
        <v>ス</v>
      </c>
      <c r="Q12" s="9"/>
      <c r="R12" s="195"/>
      <c r="S12" s="94">
        <v>11</v>
      </c>
      <c r="T12" s="95" t="s">
        <v>290</v>
      </c>
      <c r="U12" s="93">
        <f>COUNTIF(C21:O34,"=11")</f>
        <v>0</v>
      </c>
      <c r="V12" s="195"/>
      <c r="W12" s="9"/>
      <c r="X12" s="96" t="s">
        <v>236</v>
      </c>
      <c r="Y12" s="95" t="s">
        <v>237</v>
      </c>
      <c r="Z12" s="93">
        <f>COUNTIF(B21:P34,"=k")</f>
        <v>1</v>
      </c>
      <c r="AA12" s="9"/>
    </row>
    <row r="13" spans="1:27" ht="14.25" x14ac:dyDescent="0.15">
      <c r="A13" s="102"/>
      <c r="B13" s="103"/>
      <c r="C13" s="103"/>
      <c r="D13" s="103"/>
      <c r="E13" s="103"/>
      <c r="F13" s="103"/>
      <c r="G13" s="103"/>
      <c r="H13" s="103"/>
      <c r="I13" s="103"/>
      <c r="J13" s="47"/>
      <c r="K13" s="103"/>
      <c r="L13" s="103"/>
      <c r="M13" s="103"/>
      <c r="N13" s="103"/>
      <c r="O13" s="103"/>
      <c r="P13" s="103"/>
      <c r="R13" s="195"/>
      <c r="S13" s="94">
        <v>12</v>
      </c>
      <c r="T13" s="95"/>
      <c r="U13" s="93">
        <f>COUNTIF(C21:O34,"=12")</f>
        <v>0</v>
      </c>
      <c r="V13" s="195"/>
      <c r="W13" s="9"/>
      <c r="X13" s="96" t="s">
        <v>238</v>
      </c>
      <c r="Y13" s="95"/>
      <c r="Z13" s="93">
        <f>COUNTIF(B21:P34,"=l")</f>
        <v>0</v>
      </c>
      <c r="AA13" s="9"/>
    </row>
    <row r="14" spans="1:27" ht="14.1" customHeight="1" x14ac:dyDescent="0.15">
      <c r="A14" s="97">
        <v>9</v>
      </c>
      <c r="B14" s="98" t="str">
        <f>LOOKUP(B31,$X$2:$Y$43,$Y$2:$Y$43)</f>
        <v>ス</v>
      </c>
      <c r="C14" s="87">
        <f>LOOKUP(C31,$S$2:$T$69,$T$2:$T$69)</f>
        <v>0</v>
      </c>
      <c r="D14" s="87" t="str">
        <f t="shared" ref="D14:E17" si="8">LOOKUP(D31,$X$2:$Y$43,$Y$2:$Y$43)</f>
        <v>ス</v>
      </c>
      <c r="E14" s="98" t="str">
        <f t="shared" si="8"/>
        <v>ス</v>
      </c>
      <c r="F14" s="87">
        <f>LOOKUP(F31,$S$2:$T$69,$T$2:$T$69)</f>
        <v>0</v>
      </c>
      <c r="G14" s="87" t="str">
        <f t="shared" ref="G14:H17" si="9">LOOKUP(G31,$X$2:$Y$43,$Y$2:$Y$43)</f>
        <v>ス</v>
      </c>
      <c r="H14" s="98" t="str">
        <f t="shared" si="9"/>
        <v>ス</v>
      </c>
      <c r="I14" s="87">
        <f>LOOKUP(I31,$S$2:$T$69,$T$2:$T$69)</f>
        <v>0</v>
      </c>
      <c r="J14" s="87" t="str">
        <f t="shared" ref="J14:K17" si="10">LOOKUP(J31,$X$2:$Y$43,$Y$2:$Y$43)</f>
        <v>ス</v>
      </c>
      <c r="K14" s="98" t="str">
        <f t="shared" si="10"/>
        <v>ス</v>
      </c>
      <c r="L14" s="87">
        <f>LOOKUP(L31,$S$2:$T$69,$T$2:$T$69)</f>
        <v>0</v>
      </c>
      <c r="M14" s="87" t="str">
        <f t="shared" ref="M14:N17" si="11">LOOKUP(M31,$X$2:$Y$43,$Y$2:$Y$43)</f>
        <v>ス</v>
      </c>
      <c r="N14" s="98" t="str">
        <f t="shared" si="11"/>
        <v>ス</v>
      </c>
      <c r="O14" s="87">
        <f>LOOKUP(O31,$S$2:$T$69,$T$2:$T$69)</f>
        <v>0</v>
      </c>
      <c r="P14" s="87" t="str">
        <f>LOOKUP(P31,$X$2:$Y$43,$Y$2:$Y$43)</f>
        <v>ス</v>
      </c>
      <c r="Q14" s="9"/>
      <c r="R14" s="195"/>
      <c r="S14" s="94">
        <v>13</v>
      </c>
      <c r="T14" s="95"/>
      <c r="U14" s="93">
        <f>COUNTIF(C21:O34,"=13")</f>
        <v>0</v>
      </c>
      <c r="V14" s="195"/>
      <c r="W14" s="9"/>
      <c r="X14" s="106"/>
      <c r="Y14" s="95"/>
      <c r="Z14" s="107">
        <f>SUM(Z2:Z13)</f>
        <v>24</v>
      </c>
      <c r="AA14" s="9"/>
    </row>
    <row r="15" spans="1:27" ht="14.1" customHeight="1" x14ac:dyDescent="0.15">
      <c r="A15" s="99">
        <v>10</v>
      </c>
      <c r="B15" s="100" t="str">
        <f>LOOKUP(B32,$X$2:$Y$43,$Y$2:$Y$43)</f>
        <v>ス</v>
      </c>
      <c r="C15" s="101">
        <f>LOOKUP(C32,$S$2:$T$69,$T$2:$T$69)</f>
        <v>0</v>
      </c>
      <c r="D15" s="101" t="str">
        <f t="shared" si="8"/>
        <v>ス</v>
      </c>
      <c r="E15" s="100" t="str">
        <f t="shared" si="8"/>
        <v>ス</v>
      </c>
      <c r="F15" s="101">
        <f>LOOKUP(F32,$S$2:$T$69,$T$2:$T$69)</f>
        <v>0</v>
      </c>
      <c r="G15" s="101" t="str">
        <f t="shared" si="9"/>
        <v>ス</v>
      </c>
      <c r="H15" s="100" t="str">
        <f t="shared" si="9"/>
        <v>ス</v>
      </c>
      <c r="I15" s="101">
        <f>LOOKUP(I32,$S$2:$T$69,$T$2:$T$69)</f>
        <v>0</v>
      </c>
      <c r="J15" s="101" t="str">
        <f t="shared" si="10"/>
        <v>ス</v>
      </c>
      <c r="K15" s="100" t="str">
        <f t="shared" si="10"/>
        <v>ス</v>
      </c>
      <c r="L15" s="101">
        <f>LOOKUP(L32,$S$2:$T$69,$T$2:$T$69)</f>
        <v>0</v>
      </c>
      <c r="M15" s="101" t="str">
        <f t="shared" si="11"/>
        <v>ス</v>
      </c>
      <c r="N15" s="100" t="str">
        <f t="shared" si="11"/>
        <v>ス</v>
      </c>
      <c r="O15" s="101">
        <f>LOOKUP(O32,$S$2:$T$69,$T$2:$T$69)</f>
        <v>0</v>
      </c>
      <c r="P15" s="101" t="str">
        <f>LOOKUP(P32,$X$2:$Y$43,$Y$2:$Y$43)</f>
        <v>ス</v>
      </c>
      <c r="Q15" s="9"/>
      <c r="R15" s="195"/>
      <c r="S15" s="94">
        <v>14</v>
      </c>
      <c r="T15" s="95"/>
      <c r="U15" s="93">
        <f>COUNTIF(C21:O34,"=14")</f>
        <v>0</v>
      </c>
      <c r="V15" s="195"/>
      <c r="W15" s="9"/>
      <c r="X15" s="106"/>
      <c r="Y15" s="95"/>
      <c r="Z15" s="88"/>
    </row>
    <row r="16" spans="1:27" ht="14.1" customHeight="1" x14ac:dyDescent="0.15">
      <c r="A16" s="99">
        <v>11</v>
      </c>
      <c r="B16" s="100" t="str">
        <f>LOOKUP(B33,$X$2:$Y$43,$Y$2:$Y$43)</f>
        <v>ス</v>
      </c>
      <c r="C16" s="101">
        <f>LOOKUP(C33,$S$2:$T$69,$T$2:$T$69)</f>
        <v>0</v>
      </c>
      <c r="D16" s="101" t="str">
        <f t="shared" si="8"/>
        <v>ス</v>
      </c>
      <c r="E16" s="100" t="str">
        <f t="shared" si="8"/>
        <v>ス</v>
      </c>
      <c r="F16" s="101">
        <f>LOOKUP(F33,$S$2:$T$69,$T$2:$T$69)</f>
        <v>0</v>
      </c>
      <c r="G16" s="101" t="str">
        <f t="shared" si="9"/>
        <v>ス</v>
      </c>
      <c r="H16" s="100" t="str">
        <f t="shared" si="9"/>
        <v>ス</v>
      </c>
      <c r="I16" s="101">
        <f>LOOKUP(I33,$S$2:$T$69,$T$2:$T$69)</f>
        <v>0</v>
      </c>
      <c r="J16" s="101" t="str">
        <f t="shared" si="10"/>
        <v>ス</v>
      </c>
      <c r="K16" s="100" t="str">
        <f t="shared" si="10"/>
        <v>ス</v>
      </c>
      <c r="L16" s="101">
        <f>LOOKUP(L33,$S$2:$T$69,$T$2:$T$69)</f>
        <v>0</v>
      </c>
      <c r="M16" s="101" t="str">
        <f t="shared" si="11"/>
        <v>ス</v>
      </c>
      <c r="N16" s="100" t="str">
        <f t="shared" si="11"/>
        <v>ス</v>
      </c>
      <c r="O16" s="101">
        <f>LOOKUP(O33,$S$2:$T$69,$T$2:$T$69)</f>
        <v>0</v>
      </c>
      <c r="P16" s="101" t="str">
        <f>LOOKUP(P33,$X$2:$Y$43,$Y$2:$Y$43)</f>
        <v>ス</v>
      </c>
      <c r="Q16" s="9"/>
      <c r="R16" s="195"/>
      <c r="S16" s="94">
        <v>15</v>
      </c>
      <c r="T16" s="95"/>
      <c r="U16" s="93">
        <f>COUNTIF(C21:O34,"=15")</f>
        <v>0</v>
      </c>
      <c r="V16" s="195"/>
      <c r="W16" s="9"/>
      <c r="X16" s="106"/>
      <c r="Y16" s="95"/>
      <c r="Z16" s="9"/>
    </row>
    <row r="17" spans="1:27" ht="14.1" customHeight="1" x14ac:dyDescent="0.15">
      <c r="A17" s="99">
        <v>12</v>
      </c>
      <c r="B17" s="100" t="str">
        <f>LOOKUP(B34,$X$2:$Y$43,$Y$2:$Y$43)</f>
        <v>ス</v>
      </c>
      <c r="C17" s="101">
        <f>LOOKUP(C34,$S$2:$T$69,$T$2:$T$69)</f>
        <v>0</v>
      </c>
      <c r="D17" s="101" t="str">
        <f t="shared" si="8"/>
        <v>ス</v>
      </c>
      <c r="E17" s="100" t="str">
        <f t="shared" si="8"/>
        <v>ス</v>
      </c>
      <c r="F17" s="101">
        <f>LOOKUP(F34,$S$2:$T$69,$T$2:$T$69)</f>
        <v>0</v>
      </c>
      <c r="G17" s="101" t="str">
        <f t="shared" si="9"/>
        <v>ス</v>
      </c>
      <c r="H17" s="100" t="str">
        <f t="shared" si="9"/>
        <v>ス</v>
      </c>
      <c r="I17" s="101">
        <f>LOOKUP(I34,$S$2:$T$69,$T$2:$T$69)</f>
        <v>0</v>
      </c>
      <c r="J17" s="101" t="str">
        <f t="shared" si="10"/>
        <v>ス</v>
      </c>
      <c r="K17" s="100" t="str">
        <f t="shared" si="10"/>
        <v>ス</v>
      </c>
      <c r="L17" s="101">
        <f>LOOKUP(L34,$S$2:$T$69,$T$2:$T$69)</f>
        <v>0</v>
      </c>
      <c r="M17" s="101" t="str">
        <f t="shared" si="11"/>
        <v>ス</v>
      </c>
      <c r="N17" s="100" t="str">
        <f t="shared" si="11"/>
        <v>ス</v>
      </c>
      <c r="O17" s="101">
        <f>LOOKUP(O34,$S$2:$T$69,$T$2:$T$69)</f>
        <v>0</v>
      </c>
      <c r="P17" s="101" t="str">
        <f>LOOKUP(P34,$X$2:$Y$43,$Y$2:$Y$43)</f>
        <v>ス</v>
      </c>
      <c r="Q17" s="9"/>
      <c r="R17" s="195"/>
      <c r="S17" s="88"/>
      <c r="T17" s="104" t="s">
        <v>239</v>
      </c>
      <c r="U17" s="105">
        <f>SUM(U11:U16)</f>
        <v>0</v>
      </c>
      <c r="V17" s="195"/>
      <c r="W17" s="9"/>
      <c r="X17" s="106"/>
      <c r="Y17" s="95"/>
      <c r="Z17" s="9"/>
    </row>
    <row r="18" spans="1:27" ht="14.25" x14ac:dyDescent="0.15">
      <c r="A18" s="102"/>
      <c r="B18" s="103"/>
      <c r="C18" s="103"/>
      <c r="D18" s="103"/>
      <c r="E18" s="103"/>
      <c r="F18" s="103"/>
      <c r="G18" s="103"/>
      <c r="H18" s="103"/>
      <c r="I18" s="47"/>
      <c r="J18" s="47"/>
      <c r="K18" s="103"/>
      <c r="L18" s="103"/>
      <c r="M18" s="103"/>
      <c r="N18" s="103"/>
      <c r="O18" s="103"/>
      <c r="P18" s="103"/>
      <c r="R18" s="195"/>
      <c r="S18" s="93"/>
      <c r="T18" s="108" t="s">
        <v>240</v>
      </c>
      <c r="U18" s="107">
        <f>U10+U17</f>
        <v>11</v>
      </c>
      <c r="V18" s="195"/>
      <c r="W18" s="9"/>
      <c r="X18" s="109">
        <v>50</v>
      </c>
      <c r="Y18" s="110" t="s">
        <v>241</v>
      </c>
      <c r="Z18" s="105">
        <f>COUNTIF(C21:P34,"=50")</f>
        <v>18</v>
      </c>
      <c r="AA18" s="9"/>
    </row>
    <row r="19" spans="1:27" ht="15.75" customHeight="1" x14ac:dyDescent="0.2">
      <c r="B19" s="197" t="s">
        <v>242</v>
      </c>
      <c r="C19" s="198"/>
      <c r="D19" s="198"/>
      <c r="E19" s="198"/>
      <c r="F19" s="198"/>
      <c r="G19" s="198"/>
      <c r="H19" s="198"/>
      <c r="I19" s="199"/>
      <c r="J19" s="199"/>
      <c r="K19" s="199"/>
      <c r="L19" s="198"/>
      <c r="M19" s="198"/>
      <c r="N19" s="198"/>
      <c r="O19" s="198"/>
      <c r="P19" s="9"/>
      <c r="R19" s="194" t="s">
        <v>243</v>
      </c>
      <c r="S19" s="86">
        <v>22</v>
      </c>
      <c r="T19" s="91" t="s">
        <v>291</v>
      </c>
      <c r="U19" s="88">
        <f>COUNTIF(C21:O34,"=22")</f>
        <v>5</v>
      </c>
      <c r="V19" s="196" t="s">
        <v>208</v>
      </c>
      <c r="W19" s="9"/>
      <c r="X19" s="111">
        <v>51</v>
      </c>
      <c r="Y19" s="112" t="s">
        <v>245</v>
      </c>
      <c r="Z19" s="107">
        <f>COUNTIF(C21:P34,"=51")</f>
        <v>6</v>
      </c>
      <c r="AA19" s="9"/>
    </row>
    <row r="20" spans="1:27" ht="12.75" x14ac:dyDescent="0.1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195"/>
      <c r="S20" s="94">
        <v>23</v>
      </c>
      <c r="T20" s="95"/>
      <c r="U20" s="93">
        <f>COUNTIF(C21:O34,"=23")</f>
        <v>0</v>
      </c>
      <c r="V20" s="195"/>
      <c r="W20" s="9"/>
      <c r="X20" s="106"/>
      <c r="Y20" s="95"/>
      <c r="Z20" s="88"/>
    </row>
    <row r="21" spans="1:27" ht="14.25" x14ac:dyDescent="0.15">
      <c r="A21" s="97">
        <v>1</v>
      </c>
      <c r="B21" s="113" t="s">
        <v>211</v>
      </c>
      <c r="C21" s="114">
        <v>1</v>
      </c>
      <c r="D21" s="115">
        <v>50</v>
      </c>
      <c r="E21" s="113" t="s">
        <v>211</v>
      </c>
      <c r="F21" s="114">
        <v>1</v>
      </c>
      <c r="G21" s="115">
        <v>50</v>
      </c>
      <c r="H21" s="113" t="s">
        <v>211</v>
      </c>
      <c r="I21" s="114">
        <v>2</v>
      </c>
      <c r="J21" s="115">
        <v>50</v>
      </c>
      <c r="K21" s="113" t="s">
        <v>211</v>
      </c>
      <c r="L21" s="114">
        <v>2</v>
      </c>
      <c r="M21" s="115">
        <v>50</v>
      </c>
      <c r="N21" s="113" t="s">
        <v>211</v>
      </c>
      <c r="O21" s="114">
        <v>3</v>
      </c>
      <c r="P21" s="115">
        <v>50</v>
      </c>
      <c r="Q21" s="9"/>
      <c r="R21" s="195"/>
      <c r="S21" s="94">
        <v>24</v>
      </c>
      <c r="T21" s="95"/>
      <c r="U21" s="93">
        <f>COUNTIF(C21:O34,"=24")</f>
        <v>0</v>
      </c>
      <c r="V21" s="200"/>
      <c r="W21" s="9"/>
      <c r="X21" s="106"/>
      <c r="Y21" s="95"/>
      <c r="Z21" s="9"/>
    </row>
    <row r="22" spans="1:27" ht="14.25" x14ac:dyDescent="0.15">
      <c r="A22" s="99">
        <v>2</v>
      </c>
      <c r="B22" s="116" t="s">
        <v>211</v>
      </c>
      <c r="C22" s="117">
        <v>1</v>
      </c>
      <c r="D22" s="118">
        <v>50</v>
      </c>
      <c r="E22" s="116" t="s">
        <v>214</v>
      </c>
      <c r="F22" s="117">
        <v>22</v>
      </c>
      <c r="G22" s="118">
        <v>50</v>
      </c>
      <c r="H22" s="116" t="s">
        <v>211</v>
      </c>
      <c r="I22" s="117">
        <v>2</v>
      </c>
      <c r="J22" s="118">
        <v>50</v>
      </c>
      <c r="K22" s="116" t="s">
        <v>214</v>
      </c>
      <c r="L22" s="117">
        <v>22</v>
      </c>
      <c r="M22" s="118">
        <v>50</v>
      </c>
      <c r="N22" s="116" t="s">
        <v>211</v>
      </c>
      <c r="O22" s="117">
        <v>3</v>
      </c>
      <c r="P22" s="118">
        <v>50</v>
      </c>
      <c r="Q22" s="9"/>
      <c r="R22" s="195"/>
      <c r="S22" s="94">
        <v>25</v>
      </c>
      <c r="T22" s="95"/>
      <c r="U22" s="93">
        <f>COUNTIF(C21:O34,"=25")</f>
        <v>0</v>
      </c>
      <c r="V22" s="195"/>
      <c r="W22" s="9"/>
      <c r="X22" s="120"/>
      <c r="Y22" s="18"/>
    </row>
    <row r="23" spans="1:27" ht="14.25" x14ac:dyDescent="0.15">
      <c r="A23" s="99">
        <v>3</v>
      </c>
      <c r="B23" s="116" t="s">
        <v>214</v>
      </c>
      <c r="C23" s="117">
        <v>22</v>
      </c>
      <c r="D23" s="118">
        <v>50</v>
      </c>
      <c r="E23" s="116" t="s">
        <v>227</v>
      </c>
      <c r="F23" s="117">
        <v>47</v>
      </c>
      <c r="G23" s="118">
        <v>50</v>
      </c>
      <c r="H23" s="116" t="s">
        <v>214</v>
      </c>
      <c r="I23" s="117">
        <v>22</v>
      </c>
      <c r="J23" s="118">
        <v>50</v>
      </c>
      <c r="K23" s="116" t="s">
        <v>236</v>
      </c>
      <c r="L23" s="117">
        <v>47</v>
      </c>
      <c r="M23" s="118">
        <v>50</v>
      </c>
      <c r="N23" s="116" t="s">
        <v>214</v>
      </c>
      <c r="O23" s="117">
        <v>22</v>
      </c>
      <c r="P23" s="118">
        <v>50</v>
      </c>
      <c r="Q23" s="9"/>
      <c r="R23" s="195"/>
      <c r="S23" s="88"/>
      <c r="T23" s="104" t="s">
        <v>229</v>
      </c>
      <c r="U23" s="105">
        <f>SUM(U19:U22)</f>
        <v>5</v>
      </c>
      <c r="V23" s="195"/>
      <c r="W23" s="9"/>
      <c r="X23" s="2"/>
    </row>
    <row r="24" spans="1:27" ht="14.25" x14ac:dyDescent="0.15">
      <c r="A24" s="99">
        <v>4</v>
      </c>
      <c r="B24" s="116" t="s">
        <v>214</v>
      </c>
      <c r="C24" s="117">
        <v>27</v>
      </c>
      <c r="D24" s="119">
        <v>51</v>
      </c>
      <c r="E24" s="116" t="s">
        <v>209</v>
      </c>
      <c r="F24" s="117">
        <v>55</v>
      </c>
      <c r="G24" s="119">
        <v>51</v>
      </c>
      <c r="H24" s="116" t="s">
        <v>214</v>
      </c>
      <c r="I24" s="117">
        <v>27</v>
      </c>
      <c r="J24" s="119">
        <v>51</v>
      </c>
      <c r="K24" s="116" t="s">
        <v>209</v>
      </c>
      <c r="L24" s="117">
        <v>53</v>
      </c>
      <c r="M24" s="119">
        <v>51</v>
      </c>
      <c r="N24" s="116" t="s">
        <v>234</v>
      </c>
      <c r="O24" s="117">
        <v>47</v>
      </c>
      <c r="P24" s="119">
        <v>51</v>
      </c>
      <c r="Q24" s="9"/>
      <c r="R24" s="195"/>
      <c r="S24" s="86">
        <v>27</v>
      </c>
      <c r="T24" s="91" t="s">
        <v>292</v>
      </c>
      <c r="U24" s="88">
        <f>COUNTIF(C21:O34,"=27")</f>
        <v>2</v>
      </c>
      <c r="V24" s="196" t="s">
        <v>233</v>
      </c>
      <c r="W24" s="121"/>
      <c r="X24" s="2"/>
    </row>
    <row r="25" spans="1:27" ht="14.25" x14ac:dyDescent="0.15">
      <c r="A25" s="97"/>
      <c r="B25" s="122"/>
      <c r="C25" s="123"/>
      <c r="D25" s="123"/>
      <c r="E25" s="124"/>
      <c r="F25" s="123"/>
      <c r="G25" s="123"/>
      <c r="H25" s="124"/>
      <c r="I25" s="123"/>
      <c r="J25" s="123"/>
      <c r="K25" s="124"/>
      <c r="L25" s="123"/>
      <c r="M25" s="123"/>
      <c r="N25" s="124"/>
      <c r="O25" s="123"/>
      <c r="P25" s="123"/>
      <c r="Q25" s="125"/>
      <c r="R25" s="195"/>
      <c r="S25" s="94">
        <v>28</v>
      </c>
      <c r="T25" s="95"/>
      <c r="U25" s="93">
        <f>COUNTIF(C21:O34,"=28")</f>
        <v>0</v>
      </c>
      <c r="V25" s="195"/>
      <c r="W25" s="9"/>
      <c r="X25" s="2"/>
    </row>
    <row r="26" spans="1:27" ht="14.25" x14ac:dyDescent="0.15">
      <c r="A26" s="97">
        <v>5</v>
      </c>
      <c r="B26" s="113" t="s">
        <v>211</v>
      </c>
      <c r="C26" s="114">
        <v>3</v>
      </c>
      <c r="D26" s="115">
        <v>50</v>
      </c>
      <c r="E26" s="124">
        <v>100</v>
      </c>
      <c r="F26" s="123">
        <v>100</v>
      </c>
      <c r="G26" s="123">
        <v>100</v>
      </c>
      <c r="H26" s="124">
        <v>100</v>
      </c>
      <c r="I26" s="123">
        <v>100</v>
      </c>
      <c r="J26" s="123">
        <v>100</v>
      </c>
      <c r="K26" s="124">
        <v>100</v>
      </c>
      <c r="L26" s="123">
        <v>100</v>
      </c>
      <c r="M26" s="123">
        <v>100</v>
      </c>
      <c r="N26" s="124">
        <v>100</v>
      </c>
      <c r="O26" s="123">
        <v>100</v>
      </c>
      <c r="P26" s="123">
        <v>100</v>
      </c>
      <c r="Q26" s="9"/>
      <c r="R26" s="195"/>
      <c r="S26" s="94">
        <v>29</v>
      </c>
      <c r="T26" s="95"/>
      <c r="U26" s="93">
        <f>COUNTIF(C21:O34,"=29")</f>
        <v>0</v>
      </c>
      <c r="V26" s="195"/>
      <c r="W26" s="9"/>
      <c r="X26" s="2"/>
    </row>
    <row r="27" spans="1:27" ht="15" customHeight="1" x14ac:dyDescent="0.15">
      <c r="A27" s="99">
        <v>6</v>
      </c>
      <c r="B27" s="116" t="s">
        <v>211</v>
      </c>
      <c r="C27" s="117">
        <v>4</v>
      </c>
      <c r="D27" s="118">
        <v>50</v>
      </c>
      <c r="E27" s="126">
        <v>100</v>
      </c>
      <c r="F27" s="127">
        <v>100</v>
      </c>
      <c r="G27" s="127">
        <v>100</v>
      </c>
      <c r="H27" s="126">
        <v>100</v>
      </c>
      <c r="I27" s="127">
        <v>100</v>
      </c>
      <c r="J27" s="127">
        <v>100</v>
      </c>
      <c r="K27" s="126">
        <v>100</v>
      </c>
      <c r="L27" s="127">
        <v>100</v>
      </c>
      <c r="M27" s="127">
        <v>100</v>
      </c>
      <c r="N27" s="126">
        <v>100</v>
      </c>
      <c r="O27" s="127">
        <v>100</v>
      </c>
      <c r="P27" s="127">
        <v>100</v>
      </c>
      <c r="Q27" s="9"/>
      <c r="R27" s="195"/>
      <c r="S27" s="94">
        <v>30</v>
      </c>
      <c r="T27" s="95"/>
      <c r="U27" s="93">
        <f>COUNTIF(C21:O34,"=30")</f>
        <v>0</v>
      </c>
      <c r="V27" s="196"/>
      <c r="W27" s="121"/>
      <c r="X27" s="2"/>
    </row>
    <row r="28" spans="1:27" ht="14.25" x14ac:dyDescent="0.15">
      <c r="A28" s="99">
        <v>7</v>
      </c>
      <c r="B28" s="116" t="s">
        <v>211</v>
      </c>
      <c r="C28" s="117">
        <v>4</v>
      </c>
      <c r="D28" s="118">
        <v>50</v>
      </c>
      <c r="E28" s="126">
        <v>100</v>
      </c>
      <c r="F28" s="127">
        <v>100</v>
      </c>
      <c r="G28" s="127">
        <v>100</v>
      </c>
      <c r="H28" s="126">
        <v>100</v>
      </c>
      <c r="I28" s="127">
        <v>100</v>
      </c>
      <c r="J28" s="127">
        <v>100</v>
      </c>
      <c r="K28" s="126">
        <v>100</v>
      </c>
      <c r="L28" s="127">
        <v>100</v>
      </c>
      <c r="M28" s="127">
        <v>100</v>
      </c>
      <c r="N28" s="126">
        <v>100</v>
      </c>
      <c r="O28" s="127">
        <v>100</v>
      </c>
      <c r="P28" s="127">
        <v>100</v>
      </c>
      <c r="Q28" s="9"/>
      <c r="R28" s="195"/>
      <c r="S28" s="94">
        <v>31</v>
      </c>
      <c r="T28" s="95"/>
      <c r="U28" s="93">
        <f>COUNTIF(C21:O34,"=31")</f>
        <v>0</v>
      </c>
      <c r="V28" s="195"/>
      <c r="W28" s="9"/>
      <c r="X28" s="2"/>
    </row>
    <row r="29" spans="1:27" ht="14.25" x14ac:dyDescent="0.15">
      <c r="A29" s="99">
        <v>8</v>
      </c>
      <c r="B29" s="116" t="s">
        <v>209</v>
      </c>
      <c r="C29" s="117">
        <v>57</v>
      </c>
      <c r="D29" s="119">
        <v>51</v>
      </c>
      <c r="E29" s="126">
        <v>100</v>
      </c>
      <c r="F29" s="127">
        <v>100</v>
      </c>
      <c r="G29" s="127">
        <v>100</v>
      </c>
      <c r="H29" s="126">
        <v>100</v>
      </c>
      <c r="I29" s="127">
        <v>100</v>
      </c>
      <c r="J29" s="127">
        <v>100</v>
      </c>
      <c r="K29" s="126">
        <v>100</v>
      </c>
      <c r="L29" s="127">
        <v>100</v>
      </c>
      <c r="M29" s="127">
        <v>100</v>
      </c>
      <c r="N29" s="126">
        <v>100</v>
      </c>
      <c r="O29" s="127">
        <v>100</v>
      </c>
      <c r="P29" s="127">
        <v>100</v>
      </c>
      <c r="Q29" s="9"/>
      <c r="R29" s="195"/>
      <c r="S29" s="94">
        <v>32</v>
      </c>
      <c r="T29" s="95"/>
      <c r="U29" s="93">
        <f>COUNTIF(C21:O34,"=32")</f>
        <v>0</v>
      </c>
      <c r="V29" s="195"/>
      <c r="W29" s="9"/>
      <c r="X29" s="2"/>
    </row>
    <row r="30" spans="1:27" ht="14.25" x14ac:dyDescent="0.15">
      <c r="A30" s="97"/>
      <c r="B30" s="122"/>
      <c r="C30" s="123"/>
      <c r="D30" s="123"/>
      <c r="E30" s="124"/>
      <c r="F30" s="123"/>
      <c r="G30" s="123"/>
      <c r="H30" s="124"/>
      <c r="I30" s="123"/>
      <c r="J30" s="123"/>
      <c r="K30" s="124"/>
      <c r="L30" s="123"/>
      <c r="M30" s="123"/>
      <c r="N30" s="124"/>
      <c r="O30" s="123"/>
      <c r="P30" s="123"/>
      <c r="Q30" s="125"/>
      <c r="R30" s="195"/>
      <c r="S30" s="94">
        <v>33</v>
      </c>
      <c r="T30" s="95"/>
      <c r="U30" s="93">
        <f>COUNTIF(C21:O34,"=33")</f>
        <v>0</v>
      </c>
      <c r="V30" s="195"/>
      <c r="W30" s="9"/>
      <c r="X30" s="2"/>
    </row>
    <row r="31" spans="1:27" ht="14.25" x14ac:dyDescent="0.15">
      <c r="A31" s="97">
        <v>9</v>
      </c>
      <c r="B31" s="124">
        <v>100</v>
      </c>
      <c r="C31" s="123">
        <v>100</v>
      </c>
      <c r="D31" s="123">
        <v>100</v>
      </c>
      <c r="E31" s="124">
        <v>100</v>
      </c>
      <c r="F31" s="123">
        <v>100</v>
      </c>
      <c r="G31" s="123">
        <v>100</v>
      </c>
      <c r="H31" s="124">
        <v>100</v>
      </c>
      <c r="I31" s="123">
        <v>100</v>
      </c>
      <c r="J31" s="123">
        <v>100</v>
      </c>
      <c r="K31" s="124">
        <v>100</v>
      </c>
      <c r="L31" s="123">
        <v>100</v>
      </c>
      <c r="M31" s="123">
        <v>100</v>
      </c>
      <c r="N31" s="124">
        <v>100</v>
      </c>
      <c r="O31" s="123">
        <v>100</v>
      </c>
      <c r="P31" s="123">
        <v>100</v>
      </c>
      <c r="Q31" s="9"/>
      <c r="R31" s="195"/>
      <c r="S31" s="88"/>
      <c r="T31" s="104" t="s">
        <v>239</v>
      </c>
      <c r="U31" s="105">
        <f>SUM(U24:U30)</f>
        <v>2</v>
      </c>
      <c r="V31" s="195"/>
      <c r="W31" s="9"/>
      <c r="X31" s="2"/>
    </row>
    <row r="32" spans="1:27" ht="14.25" x14ac:dyDescent="0.15">
      <c r="A32" s="99">
        <v>10</v>
      </c>
      <c r="B32" s="126">
        <v>100</v>
      </c>
      <c r="C32" s="127">
        <v>100</v>
      </c>
      <c r="D32" s="127">
        <v>100</v>
      </c>
      <c r="E32" s="126">
        <v>100</v>
      </c>
      <c r="F32" s="127">
        <v>100</v>
      </c>
      <c r="G32" s="127">
        <v>100</v>
      </c>
      <c r="H32" s="126">
        <v>100</v>
      </c>
      <c r="I32" s="127">
        <v>100</v>
      </c>
      <c r="J32" s="127">
        <v>100</v>
      </c>
      <c r="K32" s="126">
        <v>100</v>
      </c>
      <c r="L32" s="127">
        <v>100</v>
      </c>
      <c r="M32" s="127">
        <v>100</v>
      </c>
      <c r="N32" s="126">
        <v>100</v>
      </c>
      <c r="O32" s="127">
        <v>100</v>
      </c>
      <c r="P32" s="127">
        <v>100</v>
      </c>
      <c r="Q32" s="9"/>
      <c r="R32" s="195"/>
      <c r="S32" s="93"/>
      <c r="T32" s="108" t="s">
        <v>251</v>
      </c>
      <c r="U32" s="107">
        <f>U23+U31</f>
        <v>7</v>
      </c>
      <c r="V32" s="195"/>
      <c r="W32" s="9"/>
      <c r="X32" s="2"/>
    </row>
    <row r="33" spans="1:24" ht="15" customHeight="1" x14ac:dyDescent="0.15">
      <c r="A33" s="99">
        <v>11</v>
      </c>
      <c r="B33" s="126">
        <v>100</v>
      </c>
      <c r="C33" s="127">
        <v>100</v>
      </c>
      <c r="D33" s="127">
        <v>100</v>
      </c>
      <c r="E33" s="126">
        <v>100</v>
      </c>
      <c r="F33" s="127">
        <v>100</v>
      </c>
      <c r="G33" s="127">
        <v>100</v>
      </c>
      <c r="H33" s="126">
        <v>100</v>
      </c>
      <c r="I33" s="127">
        <v>100</v>
      </c>
      <c r="J33" s="127">
        <v>100</v>
      </c>
      <c r="K33" s="126">
        <v>100</v>
      </c>
      <c r="L33" s="127">
        <v>100</v>
      </c>
      <c r="M33" s="127">
        <v>100</v>
      </c>
      <c r="N33" s="126">
        <v>100</v>
      </c>
      <c r="O33" s="127">
        <v>100</v>
      </c>
      <c r="P33" s="127">
        <v>100</v>
      </c>
      <c r="Q33" s="9"/>
      <c r="R33" s="194" t="s">
        <v>252</v>
      </c>
      <c r="S33" s="128">
        <v>35</v>
      </c>
      <c r="T33" s="91"/>
      <c r="U33" s="91">
        <f>COUNTIF(C21:O34,"=35")</f>
        <v>0</v>
      </c>
      <c r="V33" s="196" t="s">
        <v>253</v>
      </c>
      <c r="W33" s="121"/>
      <c r="X33" s="2"/>
    </row>
    <row r="34" spans="1:24" ht="14.25" x14ac:dyDescent="0.15">
      <c r="A34" s="99">
        <v>12</v>
      </c>
      <c r="B34" s="126">
        <v>100</v>
      </c>
      <c r="C34" s="127">
        <v>100</v>
      </c>
      <c r="D34" s="127">
        <v>100</v>
      </c>
      <c r="E34" s="126">
        <v>100</v>
      </c>
      <c r="F34" s="127">
        <v>100</v>
      </c>
      <c r="G34" s="127">
        <v>100</v>
      </c>
      <c r="H34" s="126">
        <v>100</v>
      </c>
      <c r="I34" s="127">
        <v>100</v>
      </c>
      <c r="J34" s="127">
        <v>100</v>
      </c>
      <c r="K34" s="126">
        <v>100</v>
      </c>
      <c r="L34" s="127">
        <v>100</v>
      </c>
      <c r="M34" s="127">
        <v>100</v>
      </c>
      <c r="N34" s="126">
        <v>100</v>
      </c>
      <c r="O34" s="127">
        <v>100</v>
      </c>
      <c r="P34" s="127">
        <v>100</v>
      </c>
      <c r="Q34" s="9"/>
      <c r="R34" s="195"/>
      <c r="S34" s="129">
        <v>36</v>
      </c>
      <c r="T34" s="95"/>
      <c r="U34" s="95">
        <f>COUNTIF(C21:O34,"=36")</f>
        <v>0</v>
      </c>
      <c r="V34" s="195"/>
      <c r="W34" s="9"/>
      <c r="X34" s="2"/>
    </row>
    <row r="35" spans="1:24" ht="14.25" x14ac:dyDescent="0.1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195"/>
      <c r="S35" s="129">
        <v>37</v>
      </c>
      <c r="T35" s="95"/>
      <c r="U35" s="95">
        <f>COUNTIF(C21:O34,"=37")</f>
        <v>0</v>
      </c>
      <c r="V35" s="195"/>
      <c r="W35" s="9"/>
      <c r="X35" s="2"/>
    </row>
    <row r="36" spans="1:24" ht="14.65" customHeight="1" x14ac:dyDescent="0.15">
      <c r="B36" s="132" t="s">
        <v>254</v>
      </c>
      <c r="I36" s="25"/>
      <c r="J36" s="25"/>
      <c r="K36" s="25"/>
      <c r="R36" s="195"/>
      <c r="S36" s="129">
        <v>38</v>
      </c>
      <c r="T36" s="95"/>
      <c r="U36" s="95">
        <f>COUNTIF(C21:O34,"=38")</f>
        <v>0</v>
      </c>
      <c r="V36" s="195"/>
      <c r="W36" s="9"/>
      <c r="X36" s="2"/>
    </row>
    <row r="37" spans="1:24" ht="15" x14ac:dyDescent="0.15">
      <c r="B37" s="132"/>
      <c r="I37" s="25"/>
      <c r="J37" s="25"/>
      <c r="K37" s="25"/>
      <c r="R37" s="195"/>
      <c r="S37" s="129">
        <v>39</v>
      </c>
      <c r="T37" s="95" t="s">
        <v>255</v>
      </c>
      <c r="U37" s="95">
        <f>COUNTIF(C21:O34,"=39")</f>
        <v>0</v>
      </c>
      <c r="V37" s="195"/>
      <c r="W37" s="9"/>
      <c r="X37" s="2"/>
    </row>
    <row r="38" spans="1:24" ht="15.6" customHeight="1" x14ac:dyDescent="0.2">
      <c r="B38" s="78" t="s">
        <v>182</v>
      </c>
      <c r="I38" s="25"/>
      <c r="J38" s="25"/>
      <c r="K38" s="25"/>
      <c r="R38" s="195"/>
      <c r="S38" s="88"/>
      <c r="T38" s="108" t="s">
        <v>256</v>
      </c>
      <c r="U38" s="105">
        <f>SUM(U33:U37)</f>
        <v>0</v>
      </c>
      <c r="V38" s="195"/>
      <c r="W38" s="9"/>
      <c r="X38" s="2"/>
    </row>
    <row r="39" spans="1:24" ht="14.25" x14ac:dyDescent="0.15">
      <c r="A39" s="201" t="s">
        <v>68</v>
      </c>
      <c r="B39" s="202"/>
      <c r="C39" s="211" t="s">
        <v>90</v>
      </c>
      <c r="D39" s="202"/>
      <c r="E39" s="202"/>
      <c r="F39" s="211" t="s">
        <v>70</v>
      </c>
      <c r="G39" s="202"/>
      <c r="H39" s="202"/>
      <c r="I39" s="211" t="s">
        <v>91</v>
      </c>
      <c r="J39" s="204"/>
      <c r="K39" s="204"/>
      <c r="L39" s="133" t="s">
        <v>257</v>
      </c>
      <c r="M39" s="9"/>
      <c r="R39" s="194" t="s">
        <v>258</v>
      </c>
      <c r="S39" s="128">
        <v>40</v>
      </c>
      <c r="T39" s="91"/>
      <c r="U39" s="91">
        <f>COUNTIF(C21:O34,"=40")</f>
        <v>0</v>
      </c>
      <c r="V39" s="195"/>
      <c r="W39" s="9"/>
      <c r="X39" s="2"/>
    </row>
    <row r="40" spans="1:24" ht="14.25" x14ac:dyDescent="0.15">
      <c r="A40" s="205" t="s">
        <v>71</v>
      </c>
      <c r="B40" s="202"/>
      <c r="C40" s="206" t="s">
        <v>183</v>
      </c>
      <c r="D40" s="207"/>
      <c r="E40" s="207"/>
      <c r="F40" s="206" t="s">
        <v>184</v>
      </c>
      <c r="G40" s="207"/>
      <c r="H40" s="207"/>
      <c r="I40" s="206" t="s">
        <v>136</v>
      </c>
      <c r="J40" s="208"/>
      <c r="K40" s="208"/>
      <c r="L40" s="134" t="s">
        <v>281</v>
      </c>
      <c r="M40" s="9"/>
      <c r="R40" s="195"/>
      <c r="S40" s="129">
        <v>41</v>
      </c>
      <c r="T40" s="95"/>
      <c r="U40" s="95">
        <f>COUNTIF(C21:O34,"=41")</f>
        <v>0</v>
      </c>
      <c r="V40" s="195"/>
      <c r="W40" s="9"/>
      <c r="X40" s="2"/>
    </row>
    <row r="41" spans="1:24" ht="14.25" x14ac:dyDescent="0.15">
      <c r="A41" s="206" t="s">
        <v>74</v>
      </c>
      <c r="B41" s="207"/>
      <c r="C41" s="206" t="s">
        <v>140</v>
      </c>
      <c r="D41" s="207"/>
      <c r="E41" s="207"/>
      <c r="F41" s="206" t="s">
        <v>185</v>
      </c>
      <c r="G41" s="207"/>
      <c r="H41" s="207"/>
      <c r="I41" s="206" t="s">
        <v>130</v>
      </c>
      <c r="J41" s="208"/>
      <c r="K41" s="208"/>
      <c r="L41" s="134" t="s">
        <v>282</v>
      </c>
      <c r="M41" s="9"/>
      <c r="R41" s="195"/>
      <c r="S41" s="129">
        <v>42</v>
      </c>
      <c r="T41" s="95"/>
      <c r="U41" s="95">
        <f>COUNTIF(C21:O34,"=42")</f>
        <v>0</v>
      </c>
      <c r="V41" s="195"/>
      <c r="W41" s="9"/>
      <c r="X41" s="2"/>
    </row>
    <row r="42" spans="1:24" ht="14.25" x14ac:dyDescent="0.15">
      <c r="A42" s="206" t="s">
        <v>77</v>
      </c>
      <c r="B42" s="207"/>
      <c r="C42" s="206" t="s">
        <v>186</v>
      </c>
      <c r="D42" s="207"/>
      <c r="E42" s="207"/>
      <c r="F42" s="206" t="s">
        <v>140</v>
      </c>
      <c r="G42" s="207"/>
      <c r="H42" s="207"/>
      <c r="I42" s="206" t="s">
        <v>116</v>
      </c>
      <c r="J42" s="208"/>
      <c r="K42" s="208"/>
      <c r="L42" s="134" t="s">
        <v>283</v>
      </c>
      <c r="M42" s="9"/>
      <c r="R42" s="195"/>
      <c r="S42" s="129">
        <v>43</v>
      </c>
      <c r="T42" s="95"/>
      <c r="U42" s="95">
        <f>COUNTIF(C21:O34,"=43")</f>
        <v>0</v>
      </c>
      <c r="V42" s="195"/>
      <c r="W42" s="9"/>
      <c r="X42" s="2"/>
    </row>
    <row r="43" spans="1:24" ht="15.7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195"/>
      <c r="S43" s="129">
        <v>44</v>
      </c>
      <c r="T43" s="95" t="s">
        <v>255</v>
      </c>
      <c r="U43" s="95">
        <f>COUNTIF(C21:O34,"=44")</f>
        <v>0</v>
      </c>
      <c r="V43" s="196"/>
      <c r="W43" s="121"/>
    </row>
    <row r="44" spans="1:24" ht="12.75" x14ac:dyDescent="0.15">
      <c r="R44" s="88"/>
      <c r="S44" s="88"/>
      <c r="T44" s="108" t="s">
        <v>262</v>
      </c>
      <c r="U44" s="105">
        <f>SUM(U39:U43)</f>
        <v>0</v>
      </c>
      <c r="V44" s="89"/>
      <c r="W44" s="121"/>
    </row>
    <row r="45" spans="1:24" ht="12.75" x14ac:dyDescent="0.15">
      <c r="R45" s="196" t="s">
        <v>263</v>
      </c>
      <c r="S45" s="86">
        <v>45</v>
      </c>
      <c r="T45" s="91" t="s">
        <v>264</v>
      </c>
      <c r="U45" s="91">
        <f>COUNTIF(C21:O34,"=45")</f>
        <v>0</v>
      </c>
      <c r="V45" s="196" t="s">
        <v>233</v>
      </c>
      <c r="W45" s="121"/>
    </row>
    <row r="46" spans="1:24" ht="12.75" x14ac:dyDescent="0.15">
      <c r="R46" s="195"/>
      <c r="S46" s="94">
        <v>46</v>
      </c>
      <c r="T46" s="95" t="s">
        <v>265</v>
      </c>
      <c r="U46" s="95">
        <f>COUNTIF(C21:O34,"=46")</f>
        <v>0</v>
      </c>
      <c r="V46" s="195"/>
      <c r="W46" s="9"/>
    </row>
    <row r="47" spans="1:24" ht="12.75" x14ac:dyDescent="0.15">
      <c r="R47" s="195"/>
      <c r="S47" s="94">
        <v>47</v>
      </c>
      <c r="T47" s="95" t="s">
        <v>255</v>
      </c>
      <c r="U47" s="95">
        <f>COUNTIF(C21:O34,"=47")</f>
        <v>3</v>
      </c>
      <c r="V47" s="195"/>
      <c r="W47" s="9"/>
    </row>
    <row r="48" spans="1:24" ht="12.75" x14ac:dyDescent="0.15">
      <c r="R48" s="195"/>
      <c r="S48" s="94">
        <v>48</v>
      </c>
      <c r="T48" s="95"/>
      <c r="U48" s="95">
        <f>COUNTIF(C21:O34,"=48")</f>
        <v>0</v>
      </c>
      <c r="V48" s="195"/>
      <c r="W48" s="9"/>
    </row>
    <row r="49" spans="18:23" ht="12.75" x14ac:dyDescent="0.15">
      <c r="R49" s="195"/>
      <c r="S49" s="94">
        <v>49</v>
      </c>
      <c r="T49" s="135"/>
      <c r="U49" s="135">
        <f>COUNTIF(C21:O34,"=49")</f>
        <v>0</v>
      </c>
      <c r="V49" s="195"/>
      <c r="W49" s="9"/>
    </row>
    <row r="50" spans="18:23" ht="12.75" x14ac:dyDescent="0.15">
      <c r="R50" s="195"/>
      <c r="S50" s="94"/>
      <c r="T50" s="135"/>
      <c r="U50" s="135"/>
      <c r="V50" s="195"/>
      <c r="W50" s="9"/>
    </row>
    <row r="51" spans="18:23" ht="12.75" x14ac:dyDescent="0.15">
      <c r="R51" s="195"/>
      <c r="S51" s="94"/>
      <c r="T51" s="135"/>
      <c r="U51" s="135"/>
      <c r="V51" s="195"/>
      <c r="W51" s="9"/>
    </row>
    <row r="52" spans="18:23" ht="12.75" x14ac:dyDescent="0.15">
      <c r="R52" s="195"/>
      <c r="S52" s="88"/>
      <c r="T52" s="104" t="s">
        <v>266</v>
      </c>
      <c r="U52" s="105">
        <f>SUM(U45:U51)</f>
        <v>3</v>
      </c>
      <c r="V52" s="195"/>
      <c r="W52" s="9"/>
    </row>
    <row r="53" spans="18:23" ht="12.75" x14ac:dyDescent="0.15">
      <c r="R53" s="196" t="s">
        <v>267</v>
      </c>
      <c r="S53" s="86">
        <v>53</v>
      </c>
      <c r="T53" s="91" t="s">
        <v>268</v>
      </c>
      <c r="U53" s="91">
        <f>COUNTIF(C21:O34,"=53")</f>
        <v>1</v>
      </c>
      <c r="V53" s="195"/>
      <c r="W53" s="9"/>
    </row>
    <row r="54" spans="18:23" ht="12.75" x14ac:dyDescent="0.15">
      <c r="R54" s="195"/>
      <c r="S54" s="94">
        <v>54</v>
      </c>
      <c r="T54" s="95"/>
      <c r="U54" s="95">
        <f>COUNTIF(C21:O34,"=54")</f>
        <v>0</v>
      </c>
      <c r="V54" s="195"/>
      <c r="W54" s="9"/>
    </row>
    <row r="55" spans="18:23" ht="12.75" x14ac:dyDescent="0.15">
      <c r="R55" s="195"/>
      <c r="S55" s="94">
        <v>55</v>
      </c>
      <c r="T55" s="95" t="s">
        <v>269</v>
      </c>
      <c r="U55" s="95">
        <f>COUNTIF(C21:O34,"=55")</f>
        <v>1</v>
      </c>
      <c r="V55" s="195"/>
      <c r="W55" s="9"/>
    </row>
    <row r="56" spans="18:23" ht="12.75" x14ac:dyDescent="0.15">
      <c r="R56" s="195"/>
      <c r="S56" s="94">
        <v>56</v>
      </c>
      <c r="T56" s="95"/>
      <c r="U56" s="95">
        <f>COUNTIF(C21:O34,"=56")</f>
        <v>0</v>
      </c>
      <c r="V56" s="195"/>
      <c r="W56" s="9"/>
    </row>
    <row r="57" spans="18:23" ht="12.75" x14ac:dyDescent="0.15">
      <c r="R57" s="195"/>
      <c r="S57" s="94">
        <v>57</v>
      </c>
      <c r="T57" s="135" t="s">
        <v>270</v>
      </c>
      <c r="U57" s="135">
        <f>COUNTIF(C21:O34,"=57")</f>
        <v>1</v>
      </c>
      <c r="V57" s="195"/>
      <c r="W57" s="9"/>
    </row>
    <row r="58" spans="18:23" ht="12.75" x14ac:dyDescent="0.15">
      <c r="R58" s="209"/>
      <c r="S58" s="94">
        <v>58</v>
      </c>
      <c r="T58" s="135" t="s">
        <v>271</v>
      </c>
      <c r="U58" s="135">
        <f>COUNTIF(C21:O34,"=58")</f>
        <v>0</v>
      </c>
      <c r="V58" s="195"/>
      <c r="W58" s="9"/>
    </row>
    <row r="59" spans="18:23" ht="12.75" x14ac:dyDescent="0.15">
      <c r="R59" s="195"/>
      <c r="S59" s="94">
        <v>59</v>
      </c>
      <c r="T59" s="135" t="s">
        <v>272</v>
      </c>
      <c r="U59" s="135">
        <f>COUNTIF(C21:O34,"=59")</f>
        <v>0</v>
      </c>
      <c r="V59" s="195"/>
      <c r="W59" s="9"/>
    </row>
    <row r="60" spans="18:23" ht="12.75" x14ac:dyDescent="0.15">
      <c r="R60" s="195"/>
      <c r="S60" s="94">
        <v>60</v>
      </c>
      <c r="T60" s="135"/>
      <c r="U60" s="135">
        <f>COUNTIF(C21:O34,"=60")</f>
        <v>0</v>
      </c>
      <c r="V60" s="195"/>
      <c r="W60" s="9"/>
    </row>
    <row r="61" spans="18:23" ht="12.75" x14ac:dyDescent="0.15">
      <c r="R61" s="195"/>
      <c r="S61" s="94">
        <v>61</v>
      </c>
      <c r="T61" s="135"/>
      <c r="U61" s="135">
        <f>COUNTIF(C21:O34,"=61")</f>
        <v>0</v>
      </c>
      <c r="V61" s="195"/>
      <c r="W61" s="9"/>
    </row>
    <row r="62" spans="18:23" ht="12.75" x14ac:dyDescent="0.15">
      <c r="R62" s="195"/>
      <c r="S62" s="94">
        <v>62</v>
      </c>
      <c r="T62" s="135"/>
      <c r="U62" s="135">
        <f>COUNTIF(C21:O34,"=62")</f>
        <v>0</v>
      </c>
      <c r="V62" s="195"/>
      <c r="W62" s="9"/>
    </row>
    <row r="63" spans="18:23" ht="12.75" x14ac:dyDescent="0.15">
      <c r="R63" s="195"/>
      <c r="S63" s="94">
        <v>63</v>
      </c>
      <c r="T63" s="95"/>
      <c r="U63" s="95">
        <f>COUNTIF(C21:O34,"=63")</f>
        <v>0</v>
      </c>
      <c r="V63" s="195"/>
      <c r="W63" s="9"/>
    </row>
    <row r="64" spans="18:23" ht="12.75" x14ac:dyDescent="0.15">
      <c r="R64" s="195"/>
      <c r="S64" s="94">
        <v>64</v>
      </c>
      <c r="T64" s="95"/>
      <c r="U64" s="95">
        <f>COUNTIF(C21:O34,"=64")</f>
        <v>0</v>
      </c>
      <c r="V64" s="195"/>
      <c r="W64" s="9"/>
    </row>
    <row r="65" spans="18:23" ht="12.75" x14ac:dyDescent="0.15">
      <c r="R65" s="195"/>
      <c r="S65" s="88"/>
      <c r="T65" s="104" t="s">
        <v>273</v>
      </c>
      <c r="U65" s="105">
        <f>SUM(U53:U64)</f>
        <v>3</v>
      </c>
      <c r="V65" s="195"/>
      <c r="W65" s="9"/>
    </row>
    <row r="66" spans="18:23" ht="12.75" x14ac:dyDescent="0.15">
      <c r="R66" s="195"/>
      <c r="S66" s="88"/>
      <c r="T66" s="95"/>
      <c r="U66" s="93"/>
      <c r="V66" s="195"/>
      <c r="W66" s="9"/>
    </row>
    <row r="67" spans="18:23" ht="12.75" x14ac:dyDescent="0.15">
      <c r="R67" s="88"/>
      <c r="S67" s="93"/>
      <c r="T67" s="136" t="s">
        <v>274</v>
      </c>
      <c r="U67" s="107">
        <f>U18+U32+U38+U44+U52+U65</f>
        <v>24</v>
      </c>
      <c r="V67" s="93"/>
      <c r="W67" s="9"/>
    </row>
    <row r="68" spans="18:23" ht="12.75" x14ac:dyDescent="0.15">
      <c r="R68" s="88"/>
      <c r="S68" s="86"/>
      <c r="T68" s="93"/>
      <c r="U68" s="88"/>
      <c r="V68" s="93"/>
      <c r="W68" s="9"/>
    </row>
    <row r="69" spans="18:23" ht="12.75" x14ac:dyDescent="0.15">
      <c r="R69" s="137" t="s">
        <v>275</v>
      </c>
      <c r="S69" s="138">
        <v>100</v>
      </c>
      <c r="T69" s="88"/>
      <c r="U69" s="93"/>
      <c r="V69" s="93"/>
      <c r="W69" s="9"/>
    </row>
    <row r="70" spans="18:23" ht="12.75" x14ac:dyDescent="0.1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39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もと</vt:lpstr>
      <vt:lpstr>配当計画</vt:lpstr>
      <vt:lpstr>一覧表</vt:lpstr>
      <vt:lpstr>小1【S2】</vt:lpstr>
      <vt:lpstr>小1【S3】</vt:lpstr>
      <vt:lpstr>小1【S4】</vt:lpstr>
      <vt:lpstr>小2【S2】</vt:lpstr>
      <vt:lpstr>小2【S3】</vt:lpstr>
      <vt:lpstr>小2【S4】</vt:lpstr>
      <vt:lpstr>小3【S2】</vt:lpstr>
      <vt:lpstr>小3【S3】</vt:lpstr>
      <vt:lpstr>小3【S4】</vt:lpstr>
      <vt:lpstr>小4【S2】</vt:lpstr>
      <vt:lpstr>小4【S3】</vt:lpstr>
      <vt:lpstr>小4【S4】</vt:lpstr>
      <vt:lpstr>小5【S2】</vt:lpstr>
      <vt:lpstr>小5【S3】</vt:lpstr>
      <vt:lpstr>小5【S4】</vt:lpstr>
      <vt:lpstr>小6【S2】</vt:lpstr>
      <vt:lpstr>小6【S3】</vt:lpstr>
      <vt:lpstr>小6【S4】</vt:lpstr>
      <vt:lpstr>中1【S2】</vt:lpstr>
      <vt:lpstr>中1【S3】</vt:lpstr>
      <vt:lpstr>中1【S4】</vt:lpstr>
      <vt:lpstr>中2【S2】</vt:lpstr>
      <vt:lpstr>中2【S3】</vt:lpstr>
      <vt:lpstr>中2【S4】</vt:lpstr>
      <vt:lpstr>中3【S2】</vt:lpstr>
      <vt:lpstr>中3【S3】</vt:lpstr>
      <vt:lpstr>中3【S4】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たつや</dc:creator>
  <cp:keywords/>
  <cp:lastModifiedBy>murahide</cp:lastModifiedBy>
  <cp:lastPrinted>2017-10-03T10:33:35Z</cp:lastPrinted>
  <dcterms:modified xsi:type="dcterms:W3CDTF">2017-10-03T10:34:32Z</dcterms:modified>
</cp:coreProperties>
</file>